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55" windowWidth="18780" windowHeight="12975"/>
  </bookViews>
  <sheets>
    <sheet name="Centro Est" sheetId="1" r:id="rId1"/>
    <sheet name="Centro Ovest" sheetId="10" r:id="rId2"/>
    <sheet name="Bas V. Bisagno" sheetId="9" r:id="rId3"/>
    <sheet name="Val Bisagno" sheetId="8" r:id="rId4"/>
    <sheet name="Val  Polcevera" sheetId="7" r:id="rId5"/>
    <sheet name="Medio Ponente" sheetId="6" r:id="rId6"/>
    <sheet name="Ponente" sheetId="5" r:id="rId7"/>
    <sheet name="Medio Levante" sheetId="4" r:id="rId8"/>
    <sheet name="Levante" sheetId="3" r:id="rId9"/>
    <sheet name="Fuori Genova" sheetId="2" r:id="rId10"/>
  </sheets>
  <calcPr calcId="125725"/>
</workbook>
</file>

<file path=xl/calcChain.xml><?xml version="1.0" encoding="utf-8"?>
<calcChain xmlns="http://schemas.openxmlformats.org/spreadsheetml/2006/main">
  <c r="A1" i="9"/>
  <c r="B1"/>
  <c r="C1"/>
  <c r="D1"/>
  <c r="E1"/>
  <c r="F1"/>
  <c r="A2"/>
  <c r="B2"/>
  <c r="C2"/>
  <c r="E2"/>
  <c r="F2"/>
  <c r="A3"/>
  <c r="B3"/>
  <c r="C3"/>
  <c r="E3"/>
  <c r="F3"/>
  <c r="A4"/>
  <c r="B4"/>
  <c r="C4"/>
  <c r="E4"/>
  <c r="F4"/>
  <c r="A5"/>
  <c r="B5"/>
  <c r="C5"/>
  <c r="E5"/>
  <c r="F5"/>
  <c r="A6"/>
  <c r="B6"/>
  <c r="C6"/>
  <c r="E6"/>
  <c r="F6"/>
  <c r="A7"/>
  <c r="B7"/>
  <c r="C7"/>
  <c r="E7"/>
  <c r="F7"/>
  <c r="A8"/>
  <c r="B8"/>
  <c r="C8"/>
  <c r="E8"/>
  <c r="F8"/>
  <c r="A9"/>
  <c r="B9"/>
  <c r="C9"/>
  <c r="E9"/>
  <c r="F9"/>
  <c r="A10"/>
  <c r="B10"/>
  <c r="C10"/>
  <c r="E10"/>
  <c r="F10"/>
  <c r="A11"/>
  <c r="B11"/>
  <c r="C11"/>
  <c r="E11"/>
  <c r="F11"/>
  <c r="A12"/>
  <c r="B12"/>
  <c r="C12"/>
  <c r="E12"/>
  <c r="F12"/>
  <c r="A13"/>
  <c r="B13"/>
  <c r="C13"/>
  <c r="E13"/>
  <c r="F13"/>
  <c r="A14"/>
  <c r="B14"/>
  <c r="C14"/>
  <c r="E14"/>
  <c r="F14"/>
  <c r="A15"/>
  <c r="B15"/>
  <c r="C15"/>
  <c r="E15"/>
  <c r="F15"/>
  <c r="A16"/>
  <c r="B16"/>
  <c r="C16"/>
  <c r="E16"/>
  <c r="F16"/>
  <c r="A17"/>
  <c r="B17"/>
  <c r="C17"/>
  <c r="E17"/>
  <c r="F17"/>
  <c r="A18"/>
  <c r="B18"/>
  <c r="C18"/>
  <c r="E18"/>
  <c r="F18"/>
  <c r="A19"/>
  <c r="B19"/>
  <c r="C19"/>
  <c r="E19"/>
  <c r="F19"/>
  <c r="A20"/>
  <c r="B20"/>
  <c r="C20"/>
  <c r="E20"/>
  <c r="F20"/>
  <c r="A21"/>
  <c r="B21"/>
  <c r="C21"/>
  <c r="E21"/>
  <c r="F21"/>
  <c r="A22"/>
  <c r="B22"/>
  <c r="C22"/>
  <c r="E22"/>
  <c r="F22"/>
  <c r="A23"/>
  <c r="B23"/>
  <c r="C23"/>
  <c r="E23"/>
  <c r="F23"/>
  <c r="A24"/>
  <c r="B24"/>
  <c r="C24"/>
  <c r="E24"/>
  <c r="F24"/>
  <c r="A25"/>
  <c r="B25"/>
  <c r="C25"/>
  <c r="E25"/>
  <c r="F25"/>
  <c r="A26"/>
  <c r="B26"/>
  <c r="C26"/>
  <c r="E26"/>
  <c r="F26"/>
  <c r="A27"/>
  <c r="B27"/>
  <c r="C27"/>
  <c r="E27"/>
  <c r="F27"/>
  <c r="A28"/>
  <c r="B28"/>
  <c r="C28"/>
  <c r="E28"/>
  <c r="F28"/>
  <c r="A29"/>
  <c r="B29"/>
  <c r="C29"/>
  <c r="E29"/>
  <c r="F29"/>
  <c r="A30"/>
  <c r="B30"/>
  <c r="C30"/>
  <c r="E30"/>
  <c r="F30"/>
  <c r="A31"/>
  <c r="B31"/>
  <c r="C31"/>
  <c r="E31"/>
  <c r="F31"/>
  <c r="A32"/>
  <c r="B32"/>
  <c r="C32"/>
  <c r="E32"/>
  <c r="F32"/>
  <c r="A33"/>
  <c r="B33"/>
  <c r="C33"/>
  <c r="E33"/>
  <c r="F33"/>
  <c r="A34"/>
  <c r="B34"/>
  <c r="C34"/>
  <c r="E34"/>
  <c r="F34"/>
  <c r="A35"/>
  <c r="B35"/>
  <c r="C35"/>
  <c r="E35"/>
  <c r="F35"/>
  <c r="A36"/>
  <c r="B36"/>
  <c r="C36"/>
  <c r="E36"/>
  <c r="F36"/>
  <c r="A37"/>
  <c r="B37"/>
  <c r="C37"/>
  <c r="E37"/>
  <c r="F37"/>
  <c r="A38"/>
  <c r="B38"/>
  <c r="C38"/>
  <c r="E38"/>
  <c r="F38"/>
  <c r="A39"/>
  <c r="B39"/>
  <c r="C39"/>
  <c r="E39"/>
  <c r="F39"/>
  <c r="A40"/>
  <c r="B40"/>
  <c r="C40"/>
  <c r="E40"/>
  <c r="F40"/>
  <c r="A41"/>
  <c r="B41"/>
  <c r="C41"/>
  <c r="E41"/>
  <c r="F41"/>
  <c r="A42"/>
  <c r="B42"/>
  <c r="C42"/>
  <c r="E42"/>
  <c r="F42"/>
  <c r="A43"/>
  <c r="B43"/>
  <c r="C43"/>
  <c r="E43"/>
  <c r="F43"/>
  <c r="A44"/>
  <c r="B44"/>
  <c r="C44"/>
  <c r="E44"/>
  <c r="F44"/>
  <c r="A45"/>
  <c r="B45"/>
  <c r="C45"/>
  <c r="E45"/>
  <c r="F45"/>
  <c r="A46"/>
  <c r="B46"/>
  <c r="C46"/>
  <c r="E46"/>
  <c r="F46"/>
  <c r="A47"/>
  <c r="B47"/>
  <c r="C47"/>
  <c r="E47"/>
  <c r="F47"/>
  <c r="A48"/>
  <c r="B48"/>
  <c r="C48"/>
  <c r="E48"/>
  <c r="F48"/>
  <c r="A49"/>
  <c r="B49"/>
  <c r="C49"/>
  <c r="E49"/>
  <c r="F49"/>
  <c r="A50"/>
  <c r="B50"/>
  <c r="C50"/>
  <c r="E50"/>
  <c r="F50"/>
  <c r="A51"/>
  <c r="B51"/>
  <c r="C51"/>
  <c r="E51"/>
  <c r="F51"/>
  <c r="A52"/>
  <c r="B52"/>
  <c r="C52"/>
  <c r="E52"/>
  <c r="F52"/>
  <c r="A53"/>
  <c r="B53"/>
  <c r="C53"/>
  <c r="E53"/>
  <c r="F53"/>
  <c r="A54"/>
  <c r="B54"/>
  <c r="C54"/>
  <c r="E54"/>
  <c r="F54"/>
  <c r="A55"/>
  <c r="B55"/>
  <c r="C55"/>
  <c r="E55"/>
  <c r="F55"/>
  <c r="A56"/>
  <c r="B56"/>
  <c r="C56"/>
  <c r="E56"/>
  <c r="F56"/>
  <c r="A57"/>
  <c r="B57"/>
  <c r="C57"/>
  <c r="E57"/>
  <c r="F57"/>
  <c r="A58"/>
  <c r="B58"/>
  <c r="C58"/>
  <c r="E58"/>
  <c r="F58"/>
  <c r="A59"/>
  <c r="B59"/>
  <c r="C59"/>
  <c r="E59"/>
  <c r="F59"/>
  <c r="A60"/>
  <c r="B60"/>
  <c r="C60"/>
  <c r="E60"/>
  <c r="F60"/>
  <c r="A61"/>
  <c r="B61"/>
  <c r="C61"/>
  <c r="E61"/>
  <c r="F61"/>
  <c r="A62"/>
  <c r="B62"/>
  <c r="C62"/>
  <c r="E62"/>
  <c r="F62"/>
  <c r="A63"/>
  <c r="B63"/>
  <c r="C63"/>
  <c r="E63"/>
  <c r="F63"/>
  <c r="A64"/>
  <c r="B64"/>
  <c r="C64"/>
  <c r="E64"/>
  <c r="F64"/>
  <c r="A65"/>
  <c r="B65"/>
  <c r="C65"/>
  <c r="E65"/>
  <c r="F65"/>
  <c r="A66"/>
  <c r="B66"/>
  <c r="C66"/>
  <c r="E66"/>
  <c r="F66"/>
  <c r="A67"/>
  <c r="B67"/>
  <c r="C67"/>
  <c r="E67"/>
  <c r="F67"/>
  <c r="A68"/>
  <c r="B68"/>
  <c r="C68"/>
  <c r="E68"/>
  <c r="F68"/>
  <c r="A69"/>
  <c r="B69"/>
  <c r="C69"/>
  <c r="E69"/>
  <c r="F69"/>
  <c r="A70"/>
  <c r="B70"/>
  <c r="C70"/>
  <c r="E70"/>
  <c r="F70"/>
  <c r="A71"/>
  <c r="B71"/>
  <c r="C71"/>
  <c r="E71"/>
  <c r="F71"/>
  <c r="A72"/>
  <c r="B72"/>
  <c r="C72"/>
  <c r="E72"/>
  <c r="F72"/>
  <c r="A73"/>
  <c r="B73"/>
  <c r="C73"/>
  <c r="E73"/>
  <c r="F73"/>
  <c r="A74"/>
  <c r="B74"/>
  <c r="C74"/>
  <c r="E74"/>
  <c r="F74"/>
  <c r="A75"/>
  <c r="B75"/>
  <c r="C75"/>
  <c r="E75"/>
  <c r="F75"/>
  <c r="A76"/>
  <c r="B76"/>
  <c r="C76"/>
  <c r="E76"/>
  <c r="F76"/>
  <c r="A77"/>
  <c r="B77"/>
  <c r="C77"/>
  <c r="E77"/>
  <c r="F77"/>
  <c r="A78"/>
  <c r="B78"/>
  <c r="C78"/>
  <c r="E78"/>
  <c r="F78"/>
  <c r="A79"/>
  <c r="B79"/>
  <c r="C79"/>
  <c r="E79"/>
  <c r="F79"/>
  <c r="A80"/>
  <c r="B80"/>
  <c r="C80"/>
  <c r="E80"/>
  <c r="F80"/>
  <c r="A81"/>
  <c r="B81"/>
  <c r="C81"/>
  <c r="E81"/>
  <c r="F81"/>
  <c r="A82"/>
  <c r="B82"/>
  <c r="C82"/>
  <c r="E82"/>
  <c r="F82"/>
  <c r="A83"/>
  <c r="B83"/>
  <c r="C83"/>
  <c r="E83"/>
  <c r="F83"/>
  <c r="A84"/>
  <c r="B84"/>
  <c r="C84"/>
  <c r="E84"/>
  <c r="F84"/>
  <c r="A85"/>
  <c r="B85"/>
  <c r="C85"/>
  <c r="E85"/>
  <c r="F85"/>
  <c r="A86"/>
  <c r="B86"/>
  <c r="C86"/>
  <c r="E86"/>
  <c r="F86"/>
  <c r="A87"/>
  <c r="B87"/>
  <c r="C87"/>
  <c r="E87"/>
  <c r="F87"/>
  <c r="A88"/>
  <c r="B88"/>
  <c r="C88"/>
  <c r="E88"/>
  <c r="F88"/>
  <c r="A89"/>
  <c r="B89"/>
  <c r="C89"/>
  <c r="E89"/>
  <c r="F89"/>
  <c r="A90"/>
  <c r="B90"/>
  <c r="C90"/>
  <c r="E90"/>
  <c r="F90"/>
  <c r="A91"/>
  <c r="B91"/>
  <c r="C91"/>
  <c r="E91"/>
  <c r="F91"/>
  <c r="A92"/>
  <c r="B92"/>
  <c r="C92"/>
  <c r="E92"/>
  <c r="F92"/>
  <c r="A93"/>
  <c r="B93"/>
  <c r="C93"/>
  <c r="E93"/>
  <c r="F93"/>
  <c r="A94"/>
  <c r="B94"/>
  <c r="C94"/>
  <c r="E94"/>
  <c r="F94"/>
  <c r="A95"/>
  <c r="B95"/>
  <c r="C95"/>
  <c r="E95"/>
  <c r="F95"/>
  <c r="A96"/>
  <c r="B96"/>
  <c r="C96"/>
  <c r="E96"/>
  <c r="F96"/>
  <c r="A97"/>
  <c r="B97"/>
  <c r="C97"/>
  <c r="E97"/>
  <c r="F97"/>
  <c r="A98"/>
  <c r="B98"/>
  <c r="C98"/>
  <c r="E98"/>
  <c r="F98"/>
  <c r="A99"/>
  <c r="B99"/>
  <c r="C99"/>
  <c r="E99"/>
  <c r="F99"/>
  <c r="A100"/>
  <c r="B100"/>
  <c r="C100"/>
  <c r="E100"/>
  <c r="F100"/>
  <c r="A101"/>
  <c r="B101"/>
  <c r="C101"/>
  <c r="E101"/>
  <c r="F101"/>
  <c r="A102"/>
  <c r="B102"/>
  <c r="C102"/>
  <c r="E102"/>
  <c r="F102"/>
  <c r="A103"/>
  <c r="B103"/>
  <c r="C103"/>
  <c r="E103"/>
  <c r="F103"/>
  <c r="A104"/>
  <c r="B104"/>
  <c r="C104"/>
  <c r="E104"/>
  <c r="F104"/>
  <c r="A105"/>
  <c r="B105"/>
  <c r="C105"/>
  <c r="E105"/>
  <c r="F105"/>
  <c r="A106"/>
  <c r="B106"/>
  <c r="C106"/>
  <c r="E106"/>
  <c r="F106"/>
  <c r="A107"/>
  <c r="B107"/>
  <c r="C107"/>
  <c r="E107"/>
  <c r="F107"/>
  <c r="A108"/>
  <c r="B108"/>
  <c r="C108"/>
  <c r="E108"/>
  <c r="F108"/>
  <c r="A109"/>
  <c r="B109"/>
  <c r="C109"/>
  <c r="E109"/>
  <c r="F109"/>
  <c r="A110"/>
  <c r="B110"/>
  <c r="C110"/>
  <c r="E110"/>
  <c r="F110"/>
  <c r="A111"/>
  <c r="B111"/>
  <c r="C111"/>
  <c r="E111"/>
  <c r="F111"/>
  <c r="A112"/>
  <c r="B112"/>
  <c r="C112"/>
  <c r="E112"/>
  <c r="F112"/>
  <c r="A113"/>
  <c r="B113"/>
  <c r="C113"/>
  <c r="E113"/>
  <c r="F113"/>
  <c r="A114"/>
  <c r="B114"/>
  <c r="C114"/>
  <c r="E114"/>
  <c r="F114"/>
  <c r="A115"/>
  <c r="B115"/>
  <c r="C115"/>
  <c r="E115"/>
  <c r="F115"/>
  <c r="A116"/>
  <c r="B116"/>
  <c r="C116"/>
  <c r="E116"/>
  <c r="F116"/>
  <c r="A117"/>
  <c r="B117"/>
  <c r="C117"/>
  <c r="E117"/>
  <c r="F117"/>
  <c r="A118"/>
  <c r="B118"/>
  <c r="C118"/>
  <c r="E118"/>
  <c r="F118"/>
  <c r="A119"/>
  <c r="B119"/>
  <c r="C119"/>
  <c r="E119"/>
  <c r="F119"/>
  <c r="A120"/>
  <c r="B120"/>
  <c r="C120"/>
  <c r="E120"/>
  <c r="F120"/>
  <c r="A121"/>
  <c r="B121"/>
  <c r="C121"/>
  <c r="E121"/>
  <c r="F121"/>
  <c r="A122"/>
  <c r="B122"/>
  <c r="C122"/>
  <c r="E122"/>
  <c r="F122"/>
  <c r="A123"/>
  <c r="B123"/>
  <c r="C123"/>
  <c r="E123"/>
  <c r="F123"/>
  <c r="A124"/>
  <c r="B124"/>
  <c r="C124"/>
  <c r="E124"/>
  <c r="F124"/>
  <c r="A125"/>
  <c r="B125"/>
  <c r="C125"/>
  <c r="E125"/>
  <c r="F125"/>
  <c r="A126"/>
  <c r="B126"/>
  <c r="C126"/>
  <c r="E126"/>
  <c r="F126"/>
  <c r="A127"/>
  <c r="B127"/>
  <c r="C127"/>
  <c r="E127"/>
  <c r="F127"/>
  <c r="A128"/>
  <c r="B128"/>
  <c r="C128"/>
  <c r="E128"/>
  <c r="F128"/>
  <c r="A129"/>
  <c r="B129"/>
  <c r="C129"/>
  <c r="E129"/>
  <c r="F129"/>
  <c r="A130"/>
  <c r="B130"/>
  <c r="C130"/>
  <c r="E130"/>
  <c r="F130"/>
  <c r="A131"/>
  <c r="B131"/>
  <c r="C131"/>
  <c r="E131"/>
  <c r="F131"/>
  <c r="A132"/>
  <c r="B132"/>
  <c r="C132"/>
  <c r="E132"/>
  <c r="F132"/>
  <c r="A133"/>
  <c r="B133"/>
  <c r="C133"/>
  <c r="E133"/>
  <c r="F133"/>
  <c r="A134"/>
  <c r="B134"/>
  <c r="C134"/>
  <c r="E134"/>
  <c r="F134"/>
  <c r="A135"/>
  <c r="B135"/>
  <c r="C135"/>
  <c r="E135"/>
  <c r="F135"/>
  <c r="A136"/>
  <c r="B136"/>
  <c r="C136"/>
  <c r="E136"/>
  <c r="F136"/>
  <c r="A137"/>
  <c r="B137"/>
  <c r="C137"/>
  <c r="E137"/>
  <c r="F137"/>
  <c r="A138"/>
  <c r="B138"/>
  <c r="C138"/>
  <c r="E138"/>
  <c r="F138"/>
  <c r="A139"/>
  <c r="B139"/>
  <c r="C139"/>
  <c r="E139"/>
  <c r="F139"/>
  <c r="A140"/>
  <c r="B140"/>
  <c r="C140"/>
  <c r="E140"/>
  <c r="F140"/>
  <c r="A141"/>
  <c r="B141"/>
  <c r="C141"/>
  <c r="E141"/>
  <c r="F141"/>
  <c r="A142"/>
  <c r="B142"/>
  <c r="C142"/>
  <c r="E142"/>
  <c r="F142"/>
  <c r="A143"/>
  <c r="B143"/>
  <c r="C143"/>
  <c r="E143"/>
  <c r="F143"/>
  <c r="A144"/>
  <c r="B144"/>
  <c r="C144"/>
  <c r="E144"/>
  <c r="F144"/>
  <c r="A145"/>
  <c r="B145"/>
  <c r="C145"/>
  <c r="E145"/>
  <c r="F145"/>
  <c r="A146"/>
  <c r="B146"/>
  <c r="C146"/>
  <c r="E146"/>
  <c r="F146"/>
  <c r="A147"/>
  <c r="B147"/>
  <c r="C147"/>
  <c r="E147"/>
  <c r="F147"/>
  <c r="A148"/>
  <c r="B148"/>
  <c r="C148"/>
  <c r="E148"/>
  <c r="F148"/>
  <c r="A149"/>
  <c r="B149"/>
  <c r="C149"/>
  <c r="E149"/>
  <c r="F149"/>
  <c r="A150"/>
  <c r="B150"/>
  <c r="C150"/>
  <c r="E150"/>
  <c r="F150"/>
  <c r="A151"/>
  <c r="B151"/>
  <c r="C151"/>
  <c r="E151"/>
  <c r="F151"/>
  <c r="A152"/>
  <c r="B152"/>
  <c r="C152"/>
  <c r="E152"/>
  <c r="F152"/>
  <c r="A153"/>
  <c r="B153"/>
  <c r="C153"/>
  <c r="E153"/>
  <c r="F153"/>
  <c r="A154"/>
  <c r="B154"/>
  <c r="C154"/>
  <c r="E154"/>
  <c r="F154"/>
  <c r="A155"/>
  <c r="B155"/>
  <c r="C155"/>
  <c r="E155"/>
  <c r="F155"/>
  <c r="A156"/>
  <c r="B156"/>
  <c r="C156"/>
  <c r="E156"/>
  <c r="F156"/>
  <c r="A157"/>
  <c r="B157"/>
  <c r="C157"/>
  <c r="E157"/>
  <c r="F157"/>
  <c r="A158"/>
  <c r="B158"/>
  <c r="C158"/>
  <c r="E158"/>
  <c r="F158"/>
  <c r="A159"/>
  <c r="B159"/>
  <c r="C159"/>
  <c r="E159"/>
  <c r="F159"/>
  <c r="A160"/>
  <c r="B160"/>
  <c r="C160"/>
  <c r="E160"/>
  <c r="F160"/>
  <c r="A161"/>
  <c r="B161"/>
  <c r="C161"/>
  <c r="E161"/>
  <c r="F161"/>
  <c r="A162"/>
  <c r="B162"/>
  <c r="C162"/>
  <c r="E162"/>
  <c r="F162"/>
  <c r="A163"/>
  <c r="B163"/>
  <c r="C163"/>
  <c r="E163"/>
  <c r="F163"/>
  <c r="A164"/>
  <c r="B164"/>
  <c r="C164"/>
  <c r="E164"/>
  <c r="F164"/>
  <c r="A165"/>
  <c r="B165"/>
  <c r="C165"/>
  <c r="E165"/>
  <c r="F165"/>
  <c r="A166"/>
  <c r="B166"/>
  <c r="C166"/>
  <c r="E166"/>
  <c r="F166"/>
  <c r="A167"/>
  <c r="B167"/>
  <c r="C167"/>
  <c r="E167"/>
  <c r="F167"/>
  <c r="A168"/>
  <c r="B168"/>
  <c r="C168"/>
  <c r="E168"/>
  <c r="F168"/>
  <c r="A169"/>
  <c r="B169"/>
  <c r="C169"/>
  <c r="E169"/>
  <c r="F169"/>
  <c r="A170"/>
  <c r="B170"/>
  <c r="C170"/>
  <c r="E170"/>
  <c r="F170"/>
  <c r="A171"/>
  <c r="B171"/>
  <c r="C171"/>
  <c r="E171"/>
  <c r="F171"/>
  <c r="A172"/>
  <c r="B172"/>
  <c r="C172"/>
  <c r="E172"/>
  <c r="F172"/>
  <c r="A173"/>
  <c r="B173"/>
  <c r="C173"/>
  <c r="E173"/>
  <c r="F173"/>
  <c r="A174"/>
  <c r="B174"/>
  <c r="C174"/>
  <c r="E174"/>
  <c r="F174"/>
  <c r="A175"/>
  <c r="B175"/>
  <c r="C175"/>
  <c r="E175"/>
  <c r="F175"/>
  <c r="A176"/>
  <c r="B176"/>
  <c r="C176"/>
  <c r="E176"/>
  <c r="F176"/>
  <c r="A177"/>
  <c r="B177"/>
  <c r="C177"/>
  <c r="E177"/>
  <c r="F177"/>
  <c r="A178"/>
  <c r="B178"/>
  <c r="C178"/>
  <c r="E178"/>
  <c r="F178"/>
  <c r="A179"/>
  <c r="B179"/>
  <c r="C179"/>
  <c r="E179"/>
  <c r="F179"/>
  <c r="A180"/>
  <c r="B180"/>
  <c r="C180"/>
  <c r="E180"/>
  <c r="F180"/>
  <c r="A181"/>
  <c r="B181"/>
  <c r="C181"/>
  <c r="E181"/>
  <c r="F181"/>
  <c r="A182"/>
  <c r="B182"/>
  <c r="C182"/>
  <c r="E182"/>
  <c r="F182"/>
  <c r="A183"/>
  <c r="B183"/>
  <c r="C183"/>
  <c r="E183"/>
  <c r="F183"/>
  <c r="A184"/>
  <c r="B184"/>
  <c r="C184"/>
  <c r="E184"/>
  <c r="F184"/>
  <c r="A185"/>
  <c r="B185"/>
  <c r="C185"/>
  <c r="E185"/>
  <c r="F185"/>
  <c r="A186"/>
  <c r="B186"/>
  <c r="C186"/>
  <c r="E186"/>
  <c r="F186"/>
  <c r="A187"/>
  <c r="B187"/>
  <c r="C187"/>
  <c r="E187"/>
  <c r="F187"/>
  <c r="A188"/>
  <c r="B188"/>
  <c r="C188"/>
  <c r="E188"/>
  <c r="F188"/>
  <c r="A189"/>
  <c r="B189"/>
  <c r="C189"/>
  <c r="E189"/>
  <c r="F189"/>
  <c r="A190"/>
  <c r="B190"/>
  <c r="C190"/>
  <c r="E190"/>
  <c r="F190"/>
  <c r="A191"/>
  <c r="B191"/>
  <c r="C191"/>
  <c r="E191"/>
  <c r="F191"/>
  <c r="A192"/>
  <c r="B192"/>
  <c r="C192"/>
  <c r="E192"/>
  <c r="F192"/>
  <c r="A193"/>
  <c r="B193"/>
  <c r="C193"/>
  <c r="E193"/>
  <c r="F193"/>
  <c r="A194"/>
  <c r="B194"/>
  <c r="C194"/>
  <c r="E194"/>
  <c r="F194"/>
  <c r="A195"/>
  <c r="B195"/>
  <c r="C195"/>
  <c r="E195"/>
  <c r="F195"/>
  <c r="A196"/>
  <c r="B196"/>
  <c r="C196"/>
  <c r="E196"/>
  <c r="F196"/>
  <c r="A197"/>
  <c r="B197"/>
  <c r="C197"/>
  <c r="E197"/>
  <c r="F197"/>
  <c r="A198"/>
  <c r="B198"/>
  <c r="C198"/>
  <c r="E198"/>
  <c r="F198"/>
  <c r="A199"/>
  <c r="B199"/>
  <c r="C199"/>
  <c r="E199"/>
  <c r="F199"/>
  <c r="A200"/>
  <c r="B200"/>
  <c r="C200"/>
  <c r="E200"/>
  <c r="F200"/>
  <c r="A201"/>
  <c r="B201"/>
  <c r="C201"/>
  <c r="E201"/>
  <c r="F201"/>
  <c r="A202"/>
  <c r="B202"/>
  <c r="C202"/>
  <c r="E202"/>
  <c r="F202"/>
  <c r="A203"/>
  <c r="B203"/>
  <c r="C203"/>
  <c r="E203"/>
  <c r="F203"/>
  <c r="A204"/>
  <c r="B204"/>
  <c r="C204"/>
  <c r="E204"/>
  <c r="F204"/>
  <c r="A205"/>
  <c r="B205"/>
  <c r="C205"/>
  <c r="E205"/>
  <c r="F205"/>
  <c r="A206"/>
  <c r="B206"/>
  <c r="C206"/>
  <c r="E206"/>
  <c r="F206"/>
  <c r="A207"/>
  <c r="B207"/>
  <c r="C207"/>
  <c r="E207"/>
  <c r="F207"/>
  <c r="A208"/>
  <c r="B208"/>
  <c r="C208"/>
  <c r="E208"/>
  <c r="F208"/>
  <c r="A209"/>
  <c r="B209"/>
  <c r="C209"/>
  <c r="E209"/>
  <c r="F209"/>
  <c r="A210"/>
  <c r="B210"/>
  <c r="C210"/>
  <c r="E210"/>
  <c r="F210"/>
  <c r="A211"/>
  <c r="B211"/>
  <c r="C211"/>
  <c r="E211"/>
  <c r="F211"/>
  <c r="A212"/>
  <c r="B212"/>
  <c r="C212"/>
  <c r="E212"/>
  <c r="F212"/>
  <c r="A213"/>
  <c r="B213"/>
  <c r="C213"/>
  <c r="E213"/>
  <c r="F213"/>
  <c r="A214"/>
  <c r="B214"/>
  <c r="C214"/>
  <c r="E214"/>
  <c r="F214"/>
  <c r="A215"/>
  <c r="B215"/>
  <c r="C215"/>
  <c r="E215"/>
  <c r="F215"/>
  <c r="A216"/>
  <c r="B216"/>
  <c r="C216"/>
  <c r="E216"/>
  <c r="F216"/>
  <c r="A217"/>
  <c r="B217"/>
  <c r="C217"/>
  <c r="E217"/>
  <c r="F217"/>
  <c r="A218"/>
  <c r="B218"/>
  <c r="C218"/>
  <c r="E218"/>
  <c r="F218"/>
  <c r="A219"/>
  <c r="B219"/>
  <c r="C219"/>
  <c r="E219"/>
  <c r="F219"/>
  <c r="A220"/>
  <c r="B220"/>
  <c r="C220"/>
  <c r="E220"/>
  <c r="F220"/>
  <c r="A221"/>
  <c r="B221"/>
  <c r="C221"/>
  <c r="E221"/>
  <c r="F221"/>
  <c r="A222"/>
  <c r="B222"/>
  <c r="C222"/>
  <c r="E222"/>
  <c r="F222"/>
  <c r="A223"/>
  <c r="B223"/>
  <c r="C223"/>
  <c r="E223"/>
  <c r="F223"/>
  <c r="A224"/>
  <c r="B224"/>
  <c r="C224"/>
  <c r="E224"/>
  <c r="F224"/>
  <c r="A225"/>
  <c r="B225"/>
  <c r="C225"/>
  <c r="E225"/>
  <c r="F225"/>
  <c r="A226"/>
  <c r="B226"/>
  <c r="C226"/>
  <c r="E226"/>
  <c r="F226"/>
  <c r="A227"/>
  <c r="B227"/>
  <c r="C227"/>
  <c r="E227"/>
  <c r="F227"/>
  <c r="A228"/>
  <c r="B228"/>
  <c r="C228"/>
  <c r="E228"/>
  <c r="F228"/>
  <c r="A229"/>
  <c r="B229"/>
  <c r="C229"/>
  <c r="E229"/>
  <c r="F229"/>
  <c r="A230"/>
  <c r="B230"/>
  <c r="C230"/>
  <c r="E230"/>
  <c r="F230"/>
  <c r="A231"/>
  <c r="B231"/>
  <c r="C231"/>
  <c r="E231"/>
  <c r="F231"/>
  <c r="A232"/>
  <c r="B232"/>
  <c r="C232"/>
  <c r="E232"/>
  <c r="F232"/>
  <c r="A233"/>
  <c r="B233"/>
  <c r="C233"/>
  <c r="E233"/>
  <c r="F233"/>
  <c r="A234"/>
  <c r="B234"/>
  <c r="C234"/>
  <c r="E234"/>
  <c r="F234"/>
  <c r="A235"/>
  <c r="B235"/>
  <c r="C235"/>
  <c r="E235"/>
  <c r="F235"/>
  <c r="A236"/>
  <c r="B236"/>
  <c r="C236"/>
  <c r="E236"/>
  <c r="F236"/>
  <c r="A237"/>
  <c r="B237"/>
  <c r="C237"/>
  <c r="E237"/>
  <c r="F237"/>
  <c r="A238"/>
  <c r="B238"/>
  <c r="C238"/>
  <c r="E238"/>
  <c r="F238"/>
  <c r="A239"/>
  <c r="B239"/>
  <c r="C239"/>
  <c r="E239"/>
  <c r="F239"/>
  <c r="A240"/>
  <c r="B240"/>
  <c r="C240"/>
  <c r="E240"/>
  <c r="F240"/>
  <c r="A241"/>
  <c r="B241"/>
  <c r="C241"/>
  <c r="E241"/>
  <c r="F241"/>
  <c r="A242"/>
  <c r="B242"/>
  <c r="C242"/>
  <c r="E242"/>
  <c r="F242"/>
  <c r="A243"/>
  <c r="B243"/>
  <c r="C243"/>
  <c r="E243"/>
  <c r="F243"/>
  <c r="A244"/>
  <c r="B244"/>
  <c r="C244"/>
  <c r="E244"/>
  <c r="F244"/>
  <c r="A245"/>
  <c r="B245"/>
  <c r="C245"/>
  <c r="E245"/>
  <c r="F245"/>
  <c r="A246"/>
  <c r="B246"/>
  <c r="C246"/>
  <c r="E246"/>
  <c r="F246"/>
  <c r="A247"/>
  <c r="B247"/>
  <c r="C247"/>
  <c r="E247"/>
  <c r="F247"/>
  <c r="A1" i="1"/>
  <c r="B1"/>
  <c r="C1"/>
  <c r="D1"/>
  <c r="E1"/>
  <c r="F1"/>
  <c r="A2"/>
  <c r="B2"/>
  <c r="C2"/>
  <c r="E2"/>
  <c r="F2"/>
  <c r="A3"/>
  <c r="B3"/>
  <c r="C3"/>
  <c r="E3"/>
  <c r="F3"/>
  <c r="A4"/>
  <c r="B4"/>
  <c r="C4"/>
  <c r="E4"/>
  <c r="F4"/>
  <c r="A5"/>
  <c r="B5"/>
  <c r="C5"/>
  <c r="E5"/>
  <c r="F5"/>
  <c r="A6"/>
  <c r="B6"/>
  <c r="C6"/>
  <c r="E6"/>
  <c r="F6"/>
  <c r="A7"/>
  <c r="B7"/>
  <c r="C7"/>
  <c r="E7"/>
  <c r="F7"/>
  <c r="A8"/>
  <c r="B8"/>
  <c r="C8"/>
  <c r="E8"/>
  <c r="F8"/>
  <c r="A9"/>
  <c r="B9"/>
  <c r="C9"/>
  <c r="E9"/>
  <c r="F9"/>
  <c r="A10"/>
  <c r="B10"/>
  <c r="C10"/>
  <c r="E10"/>
  <c r="F10"/>
  <c r="A11"/>
  <c r="B11"/>
  <c r="C11"/>
  <c r="E11"/>
  <c r="F11"/>
  <c r="A12"/>
  <c r="B12"/>
  <c r="C12"/>
  <c r="E12"/>
  <c r="F12"/>
  <c r="A13"/>
  <c r="B13"/>
  <c r="C13"/>
  <c r="E13"/>
  <c r="F13"/>
  <c r="A14"/>
  <c r="B14"/>
  <c r="C14"/>
  <c r="E14"/>
  <c r="F14"/>
  <c r="A15"/>
  <c r="B15"/>
  <c r="C15"/>
  <c r="E15"/>
  <c r="F15"/>
  <c r="A16"/>
  <c r="B16"/>
  <c r="C16"/>
  <c r="E16"/>
  <c r="F16"/>
  <c r="A17"/>
  <c r="B17"/>
  <c r="C17"/>
  <c r="E17"/>
  <c r="F17"/>
  <c r="A18"/>
  <c r="B18"/>
  <c r="C18"/>
  <c r="E18"/>
  <c r="F18"/>
  <c r="A19"/>
  <c r="B19"/>
  <c r="C19"/>
  <c r="E19"/>
  <c r="F19"/>
  <c r="A20"/>
  <c r="B20"/>
  <c r="C20"/>
  <c r="E20"/>
  <c r="F20"/>
  <c r="A21"/>
  <c r="B21"/>
  <c r="C21"/>
  <c r="E21"/>
  <c r="F21"/>
  <c r="A22"/>
  <c r="B22"/>
  <c r="C22"/>
  <c r="E22"/>
  <c r="F22"/>
  <c r="A23"/>
  <c r="B23"/>
  <c r="C23"/>
  <c r="E23"/>
  <c r="F23"/>
  <c r="A24"/>
  <c r="B24"/>
  <c r="C24"/>
  <c r="E24"/>
  <c r="F24"/>
  <c r="A25"/>
  <c r="B25"/>
  <c r="C25"/>
  <c r="E25"/>
  <c r="F25"/>
  <c r="A26"/>
  <c r="B26"/>
  <c r="C26"/>
  <c r="E26"/>
  <c r="F26"/>
  <c r="A27"/>
  <c r="B27"/>
  <c r="C27"/>
  <c r="E27"/>
  <c r="F27"/>
  <c r="A28"/>
  <c r="B28"/>
  <c r="C28"/>
  <c r="E28"/>
  <c r="F28"/>
  <c r="A29"/>
  <c r="B29"/>
  <c r="C29"/>
  <c r="E29"/>
  <c r="F29"/>
  <c r="A30"/>
  <c r="B30"/>
  <c r="C30"/>
  <c r="E30"/>
  <c r="F30"/>
  <c r="A31"/>
  <c r="B31"/>
  <c r="C31"/>
  <c r="E31"/>
  <c r="F31"/>
  <c r="A32"/>
  <c r="B32"/>
  <c r="C32"/>
  <c r="E32"/>
  <c r="F32"/>
  <c r="A33"/>
  <c r="B33"/>
  <c r="C33"/>
  <c r="E33"/>
  <c r="F33"/>
  <c r="A34"/>
  <c r="B34"/>
  <c r="C34"/>
  <c r="E34"/>
  <c r="F34"/>
  <c r="A35"/>
  <c r="B35"/>
  <c r="C35"/>
  <c r="E35"/>
  <c r="F35"/>
  <c r="A36"/>
  <c r="B36"/>
  <c r="C36"/>
  <c r="E36"/>
  <c r="F36"/>
  <c r="A37"/>
  <c r="B37"/>
  <c r="C37"/>
  <c r="E37"/>
  <c r="F37"/>
  <c r="A38"/>
  <c r="B38"/>
  <c r="C38"/>
  <c r="E38"/>
  <c r="F38"/>
  <c r="A39"/>
  <c r="B39"/>
  <c r="C39"/>
  <c r="E39"/>
  <c r="F39"/>
  <c r="A40"/>
  <c r="B40"/>
  <c r="C40"/>
  <c r="E40"/>
  <c r="F40"/>
  <c r="A41"/>
  <c r="B41"/>
  <c r="C41"/>
  <c r="E41"/>
  <c r="F41"/>
  <c r="A42"/>
  <c r="B42"/>
  <c r="C42"/>
  <c r="E42"/>
  <c r="F42"/>
  <c r="A43"/>
  <c r="B43"/>
  <c r="C43"/>
  <c r="E43"/>
  <c r="F43"/>
  <c r="A44"/>
  <c r="B44"/>
  <c r="C44"/>
  <c r="E44"/>
  <c r="F44"/>
  <c r="A45"/>
  <c r="B45"/>
  <c r="C45"/>
  <c r="E45"/>
  <c r="F45"/>
  <c r="A46"/>
  <c r="B46"/>
  <c r="C46"/>
  <c r="E46"/>
  <c r="F46"/>
  <c r="A47"/>
  <c r="B47"/>
  <c r="C47"/>
  <c r="E47"/>
  <c r="F47"/>
  <c r="A48"/>
  <c r="B48"/>
  <c r="C48"/>
  <c r="E48"/>
  <c r="F48"/>
  <c r="A49"/>
  <c r="B49"/>
  <c r="C49"/>
  <c r="E49"/>
  <c r="F49"/>
  <c r="A50"/>
  <c r="B50"/>
  <c r="C50"/>
  <c r="E50"/>
  <c r="F50"/>
  <c r="A51"/>
  <c r="B51"/>
  <c r="C51"/>
  <c r="E51"/>
  <c r="F51"/>
  <c r="A52"/>
  <c r="B52"/>
  <c r="C52"/>
  <c r="E52"/>
  <c r="F52"/>
  <c r="A53"/>
  <c r="B53"/>
  <c r="C53"/>
  <c r="E53"/>
  <c r="F53"/>
  <c r="A54"/>
  <c r="B54"/>
  <c r="C54"/>
  <c r="E54"/>
  <c r="F54"/>
  <c r="A55"/>
  <c r="B55"/>
  <c r="C55"/>
  <c r="E55"/>
  <c r="F55"/>
  <c r="A56"/>
  <c r="B56"/>
  <c r="C56"/>
  <c r="E56"/>
  <c r="F56"/>
  <c r="A57"/>
  <c r="B57"/>
  <c r="C57"/>
  <c r="E57"/>
  <c r="F57"/>
  <c r="A58"/>
  <c r="B58"/>
  <c r="C58"/>
  <c r="E58"/>
  <c r="F58"/>
  <c r="A59"/>
  <c r="B59"/>
  <c r="C59"/>
  <c r="E59"/>
  <c r="F59"/>
  <c r="A60"/>
  <c r="B60"/>
  <c r="C60"/>
  <c r="E60"/>
  <c r="F60"/>
  <c r="A61"/>
  <c r="B61"/>
  <c r="C61"/>
  <c r="E61"/>
  <c r="F61"/>
  <c r="A62"/>
  <c r="B62"/>
  <c r="C62"/>
  <c r="E62"/>
  <c r="F62"/>
  <c r="A63"/>
  <c r="B63"/>
  <c r="C63"/>
  <c r="E63"/>
  <c r="F63"/>
  <c r="A64"/>
  <c r="B64"/>
  <c r="C64"/>
  <c r="E64"/>
  <c r="F64"/>
  <c r="A65"/>
  <c r="B65"/>
  <c r="C65"/>
  <c r="E65"/>
  <c r="F65"/>
  <c r="A66"/>
  <c r="B66"/>
  <c r="C66"/>
  <c r="E66"/>
  <c r="F66"/>
  <c r="A67"/>
  <c r="B67"/>
  <c r="C67"/>
  <c r="E67"/>
  <c r="F67"/>
  <c r="A68"/>
  <c r="B68"/>
  <c r="C68"/>
  <c r="E68"/>
  <c r="F68"/>
  <c r="A69"/>
  <c r="B69"/>
  <c r="C69"/>
  <c r="E69"/>
  <c r="F69"/>
  <c r="A70"/>
  <c r="B70"/>
  <c r="C70"/>
  <c r="E70"/>
  <c r="F70"/>
  <c r="A71"/>
  <c r="B71"/>
  <c r="C71"/>
  <c r="E71"/>
  <c r="F71"/>
  <c r="A72"/>
  <c r="B72"/>
  <c r="C72"/>
  <c r="E72"/>
  <c r="F72"/>
  <c r="A73"/>
  <c r="B73"/>
  <c r="C73"/>
  <c r="E73"/>
  <c r="F73"/>
  <c r="A74"/>
  <c r="B74"/>
  <c r="C74"/>
  <c r="E74"/>
  <c r="F74"/>
  <c r="A75"/>
  <c r="B75"/>
  <c r="C75"/>
  <c r="E75"/>
  <c r="F75"/>
  <c r="A76"/>
  <c r="B76"/>
  <c r="C76"/>
  <c r="E76"/>
  <c r="F76"/>
  <c r="A77"/>
  <c r="B77"/>
  <c r="C77"/>
  <c r="E77"/>
  <c r="F77"/>
  <c r="A78"/>
  <c r="B78"/>
  <c r="C78"/>
  <c r="E78"/>
  <c r="F78"/>
  <c r="A79"/>
  <c r="B79"/>
  <c r="C79"/>
  <c r="E79"/>
  <c r="F79"/>
  <c r="A80"/>
  <c r="B80"/>
  <c r="C80"/>
  <c r="E80"/>
  <c r="F80"/>
  <c r="A81"/>
  <c r="B81"/>
  <c r="C81"/>
  <c r="E81"/>
  <c r="F81"/>
  <c r="A82"/>
  <c r="B82"/>
  <c r="C82"/>
  <c r="E82"/>
  <c r="F82"/>
  <c r="A83"/>
  <c r="B83"/>
  <c r="C83"/>
  <c r="E83"/>
  <c r="F83"/>
  <c r="A84"/>
  <c r="B84"/>
  <c r="C84"/>
  <c r="E84"/>
  <c r="F84"/>
  <c r="A85"/>
  <c r="B85"/>
  <c r="C85"/>
  <c r="E85"/>
  <c r="F85"/>
  <c r="A86"/>
  <c r="B86"/>
  <c r="C86"/>
  <c r="E86"/>
  <c r="F86"/>
  <c r="A87"/>
  <c r="B87"/>
  <c r="C87"/>
  <c r="E87"/>
  <c r="F87"/>
  <c r="A88"/>
  <c r="B88"/>
  <c r="C88"/>
  <c r="E88"/>
  <c r="F88"/>
  <c r="A89"/>
  <c r="B89"/>
  <c r="C89"/>
  <c r="E89"/>
  <c r="F89"/>
  <c r="A90"/>
  <c r="B90"/>
  <c r="C90"/>
  <c r="E90"/>
  <c r="F90"/>
  <c r="A91"/>
  <c r="B91"/>
  <c r="C91"/>
  <c r="E91"/>
  <c r="F91"/>
  <c r="A92"/>
  <c r="B92"/>
  <c r="C92"/>
  <c r="E92"/>
  <c r="F92"/>
  <c r="A93"/>
  <c r="B93"/>
  <c r="C93"/>
  <c r="E93"/>
  <c r="F93"/>
  <c r="A94"/>
  <c r="B94"/>
  <c r="C94"/>
  <c r="E94"/>
  <c r="F94"/>
  <c r="A95"/>
  <c r="B95"/>
  <c r="C95"/>
  <c r="E95"/>
  <c r="F95"/>
  <c r="A96"/>
  <c r="B96"/>
  <c r="C96"/>
  <c r="E96"/>
  <c r="F96"/>
  <c r="A97"/>
  <c r="B97"/>
  <c r="C97"/>
  <c r="E97"/>
  <c r="F97"/>
  <c r="A98"/>
  <c r="B98"/>
  <c r="C98"/>
  <c r="E98"/>
  <c r="F98"/>
  <c r="A99"/>
  <c r="B99"/>
  <c r="C99"/>
  <c r="E99"/>
  <c r="F99"/>
  <c r="A100"/>
  <c r="B100"/>
  <c r="C100"/>
  <c r="E100"/>
  <c r="F100"/>
  <c r="A101"/>
  <c r="B101"/>
  <c r="C101"/>
  <c r="E101"/>
  <c r="F101"/>
  <c r="A102"/>
  <c r="B102"/>
  <c r="C102"/>
  <c r="E102"/>
  <c r="F102"/>
  <c r="A103"/>
  <c r="B103"/>
  <c r="C103"/>
  <c r="E103"/>
  <c r="F103"/>
  <c r="A104"/>
  <c r="B104"/>
  <c r="C104"/>
  <c r="E104"/>
  <c r="F104"/>
  <c r="A105"/>
  <c r="B105"/>
  <c r="C105"/>
  <c r="E105"/>
  <c r="F105"/>
  <c r="A106"/>
  <c r="B106"/>
  <c r="C106"/>
  <c r="E106"/>
  <c r="F106"/>
  <c r="A107"/>
  <c r="B107"/>
  <c r="C107"/>
  <c r="E107"/>
  <c r="F107"/>
  <c r="A108"/>
  <c r="B108"/>
  <c r="C108"/>
  <c r="E108"/>
  <c r="F108"/>
  <c r="A109"/>
  <c r="B109"/>
  <c r="C109"/>
  <c r="E109"/>
  <c r="F109"/>
  <c r="A110"/>
  <c r="B110"/>
  <c r="C110"/>
  <c r="E110"/>
  <c r="F110"/>
  <c r="A111"/>
  <c r="B111"/>
  <c r="C111"/>
  <c r="E111"/>
  <c r="F111"/>
  <c r="A112"/>
  <c r="B112"/>
  <c r="C112"/>
  <c r="E112"/>
  <c r="F112"/>
  <c r="A113"/>
  <c r="B113"/>
  <c r="C113"/>
  <c r="E113"/>
  <c r="F113"/>
  <c r="A114"/>
  <c r="B114"/>
  <c r="C114"/>
  <c r="E114"/>
  <c r="F114"/>
  <c r="A115"/>
  <c r="B115"/>
  <c r="C115"/>
  <c r="E115"/>
  <c r="F115"/>
  <c r="A116"/>
  <c r="B116"/>
  <c r="C116"/>
  <c r="E116"/>
  <c r="F116"/>
  <c r="A117"/>
  <c r="B117"/>
  <c r="C117"/>
  <c r="E117"/>
  <c r="F117"/>
  <c r="A118"/>
  <c r="B118"/>
  <c r="C118"/>
  <c r="E118"/>
  <c r="F118"/>
  <c r="A119"/>
  <c r="B119"/>
  <c r="C119"/>
  <c r="E119"/>
  <c r="F119"/>
  <c r="A120"/>
  <c r="B120"/>
  <c r="C120"/>
  <c r="E120"/>
  <c r="F120"/>
  <c r="A121"/>
  <c r="B121"/>
  <c r="C121"/>
  <c r="E121"/>
  <c r="F121"/>
  <c r="A122"/>
  <c r="B122"/>
  <c r="C122"/>
  <c r="E122"/>
  <c r="F122"/>
  <c r="A123"/>
  <c r="B123"/>
  <c r="C123"/>
  <c r="E123"/>
  <c r="F123"/>
  <c r="A124"/>
  <c r="B124"/>
  <c r="C124"/>
  <c r="E124"/>
  <c r="F124"/>
  <c r="A125"/>
  <c r="B125"/>
  <c r="C125"/>
  <c r="E125"/>
  <c r="F125"/>
  <c r="A126"/>
  <c r="B126"/>
  <c r="C126"/>
  <c r="E126"/>
  <c r="F126"/>
  <c r="A127"/>
  <c r="B127"/>
  <c r="C127"/>
  <c r="E127"/>
  <c r="F127"/>
  <c r="A128"/>
  <c r="B128"/>
  <c r="C128"/>
  <c r="E128"/>
  <c r="F128"/>
  <c r="A129"/>
  <c r="B129"/>
  <c r="C129"/>
  <c r="E129"/>
  <c r="F129"/>
  <c r="A130"/>
  <c r="B130"/>
  <c r="C130"/>
  <c r="E130"/>
  <c r="F130"/>
  <c r="A131"/>
  <c r="B131"/>
  <c r="C131"/>
  <c r="E131"/>
  <c r="F131"/>
  <c r="A132"/>
  <c r="B132"/>
  <c r="C132"/>
  <c r="E132"/>
  <c r="F132"/>
  <c r="A133"/>
  <c r="B133"/>
  <c r="C133"/>
  <c r="E133"/>
  <c r="F133"/>
  <c r="A134"/>
  <c r="B134"/>
  <c r="C134"/>
  <c r="E134"/>
  <c r="F134"/>
  <c r="A135"/>
  <c r="B135"/>
  <c r="C135"/>
  <c r="E135"/>
  <c r="F135"/>
  <c r="A136"/>
  <c r="B136"/>
  <c r="C136"/>
  <c r="E136"/>
  <c r="F136"/>
  <c r="A137"/>
  <c r="B137"/>
  <c r="C137"/>
  <c r="E137"/>
  <c r="F137"/>
  <c r="A138"/>
  <c r="B138"/>
  <c r="C138"/>
  <c r="E138"/>
  <c r="F138"/>
  <c r="A139"/>
  <c r="B139"/>
  <c r="C139"/>
  <c r="E139"/>
  <c r="F139"/>
  <c r="A140"/>
  <c r="B140"/>
  <c r="C140"/>
  <c r="E140"/>
  <c r="F140"/>
  <c r="A141"/>
  <c r="B141"/>
  <c r="C141"/>
  <c r="E141"/>
  <c r="F141"/>
  <c r="A142"/>
  <c r="B142"/>
  <c r="C142"/>
  <c r="E142"/>
  <c r="F142"/>
  <c r="A143"/>
  <c r="B143"/>
  <c r="C143"/>
  <c r="E143"/>
  <c r="F143"/>
  <c r="A144"/>
  <c r="B144"/>
  <c r="C144"/>
  <c r="E144"/>
  <c r="F144"/>
  <c r="A145"/>
  <c r="B145"/>
  <c r="C145"/>
  <c r="E145"/>
  <c r="F145"/>
  <c r="A146"/>
  <c r="B146"/>
  <c r="C146"/>
  <c r="E146"/>
  <c r="F146"/>
  <c r="A147"/>
  <c r="B147"/>
  <c r="C147"/>
  <c r="E147"/>
  <c r="F147"/>
  <c r="A148"/>
  <c r="B148"/>
  <c r="C148"/>
  <c r="E148"/>
  <c r="F148"/>
  <c r="A149"/>
  <c r="B149"/>
  <c r="C149"/>
  <c r="E149"/>
  <c r="F149"/>
  <c r="A150"/>
  <c r="B150"/>
  <c r="C150"/>
  <c r="E150"/>
  <c r="F150"/>
  <c r="A151"/>
  <c r="B151"/>
  <c r="C151"/>
  <c r="E151"/>
  <c r="F151"/>
  <c r="A152"/>
  <c r="B152"/>
  <c r="C152"/>
  <c r="E152"/>
  <c r="F152"/>
  <c r="A153"/>
  <c r="B153"/>
  <c r="C153"/>
  <c r="E153"/>
  <c r="F153"/>
  <c r="A154"/>
  <c r="B154"/>
  <c r="C154"/>
  <c r="E154"/>
  <c r="F154"/>
  <c r="A155"/>
  <c r="B155"/>
  <c r="C155"/>
  <c r="E155"/>
  <c r="F155"/>
  <c r="A156"/>
  <c r="B156"/>
  <c r="C156"/>
  <c r="E156"/>
  <c r="F156"/>
  <c r="A157"/>
  <c r="B157"/>
  <c r="C157"/>
  <c r="E157"/>
  <c r="F157"/>
  <c r="A158"/>
  <c r="B158"/>
  <c r="C158"/>
  <c r="E158"/>
  <c r="F158"/>
  <c r="A159"/>
  <c r="B159"/>
  <c r="C159"/>
  <c r="E159"/>
  <c r="F159"/>
  <c r="A160"/>
  <c r="B160"/>
  <c r="C160"/>
  <c r="E160"/>
  <c r="F160"/>
  <c r="A161"/>
  <c r="B161"/>
  <c r="C161"/>
  <c r="E161"/>
  <c r="F161"/>
  <c r="A162"/>
  <c r="B162"/>
  <c r="C162"/>
  <c r="E162"/>
  <c r="F162"/>
  <c r="A163"/>
  <c r="B163"/>
  <c r="C163"/>
  <c r="E163"/>
  <c r="F163"/>
  <c r="A164"/>
  <c r="B164"/>
  <c r="C164"/>
  <c r="E164"/>
  <c r="F164"/>
  <c r="A165"/>
  <c r="B165"/>
  <c r="C165"/>
  <c r="E165"/>
  <c r="F165"/>
  <c r="A166"/>
  <c r="B166"/>
  <c r="C166"/>
  <c r="E166"/>
  <c r="F166"/>
  <c r="A167"/>
  <c r="B167"/>
  <c r="C167"/>
  <c r="E167"/>
  <c r="F167"/>
  <c r="A168"/>
  <c r="B168"/>
  <c r="C168"/>
  <c r="E168"/>
  <c r="F168"/>
  <c r="A169"/>
  <c r="B169"/>
  <c r="C169"/>
  <c r="E169"/>
  <c r="F169"/>
  <c r="A170"/>
  <c r="B170"/>
  <c r="C170"/>
  <c r="E170"/>
  <c r="F170"/>
  <c r="A171"/>
  <c r="B171"/>
  <c r="C171"/>
  <c r="E171"/>
  <c r="F171"/>
  <c r="A172"/>
  <c r="B172"/>
  <c r="C172"/>
  <c r="E172"/>
  <c r="F172"/>
  <c r="A173"/>
  <c r="B173"/>
  <c r="C173"/>
  <c r="E173"/>
  <c r="F173"/>
  <c r="A174"/>
  <c r="B174"/>
  <c r="C174"/>
  <c r="E174"/>
  <c r="F174"/>
  <c r="A175"/>
  <c r="B175"/>
  <c r="C175"/>
  <c r="E175"/>
  <c r="F175"/>
  <c r="A176"/>
  <c r="B176"/>
  <c r="C176"/>
  <c r="E176"/>
  <c r="F176"/>
  <c r="A177"/>
  <c r="B177"/>
  <c r="C177"/>
  <c r="E177"/>
  <c r="F177"/>
  <c r="A178"/>
  <c r="B178"/>
  <c r="C178"/>
  <c r="E178"/>
  <c r="F178"/>
  <c r="A179"/>
  <c r="B179"/>
  <c r="C179"/>
  <c r="E179"/>
  <c r="F179"/>
  <c r="A180"/>
  <c r="B180"/>
  <c r="C180"/>
  <c r="E180"/>
  <c r="F180"/>
  <c r="A181"/>
  <c r="B181"/>
  <c r="C181"/>
  <c r="E181"/>
  <c r="F181"/>
  <c r="A182"/>
  <c r="B182"/>
  <c r="C182"/>
  <c r="E182"/>
  <c r="F182"/>
  <c r="A183"/>
  <c r="B183"/>
  <c r="C183"/>
  <c r="E183"/>
  <c r="F183"/>
  <c r="A184"/>
  <c r="B184"/>
  <c r="C184"/>
  <c r="E184"/>
  <c r="F184"/>
  <c r="A185"/>
  <c r="B185"/>
  <c r="C185"/>
  <c r="E185"/>
  <c r="F185"/>
  <c r="A186"/>
  <c r="B186"/>
  <c r="C186"/>
  <c r="E186"/>
  <c r="F186"/>
  <c r="A187"/>
  <c r="B187"/>
  <c r="C187"/>
  <c r="E187"/>
  <c r="F187"/>
  <c r="A188"/>
  <c r="B188"/>
  <c r="C188"/>
  <c r="E188"/>
  <c r="F188"/>
  <c r="A189"/>
  <c r="B189"/>
  <c r="C189"/>
  <c r="E189"/>
  <c r="F189"/>
  <c r="A190"/>
  <c r="B190"/>
  <c r="C190"/>
  <c r="E190"/>
  <c r="F190"/>
  <c r="A191"/>
  <c r="B191"/>
  <c r="C191"/>
  <c r="E191"/>
  <c r="F191"/>
  <c r="A192"/>
  <c r="B192"/>
  <c r="C192"/>
  <c r="E192"/>
  <c r="F192"/>
  <c r="A193"/>
  <c r="B193"/>
  <c r="C193"/>
  <c r="E193"/>
  <c r="F193"/>
  <c r="A194"/>
  <c r="B194"/>
  <c r="C194"/>
  <c r="E194"/>
  <c r="F194"/>
  <c r="A195"/>
  <c r="B195"/>
  <c r="C195"/>
  <c r="E195"/>
  <c r="F195"/>
  <c r="A196"/>
  <c r="B196"/>
  <c r="C196"/>
  <c r="E196"/>
  <c r="F196"/>
  <c r="A197"/>
  <c r="B197"/>
  <c r="C197"/>
  <c r="E197"/>
  <c r="F197"/>
  <c r="A198"/>
  <c r="B198"/>
  <c r="C198"/>
  <c r="E198"/>
  <c r="F198"/>
  <c r="A199"/>
  <c r="B199"/>
  <c r="C199"/>
  <c r="E199"/>
  <c r="F199"/>
  <c r="A200"/>
  <c r="B200"/>
  <c r="C200"/>
  <c r="E200"/>
  <c r="F200"/>
  <c r="A201"/>
  <c r="B201"/>
  <c r="C201"/>
  <c r="E201"/>
  <c r="F201"/>
  <c r="A202"/>
  <c r="B202"/>
  <c r="C202"/>
  <c r="E202"/>
  <c r="F202"/>
  <c r="A203"/>
  <c r="B203"/>
  <c r="C203"/>
  <c r="E203"/>
  <c r="F203"/>
  <c r="A204"/>
  <c r="B204"/>
  <c r="C204"/>
  <c r="E204"/>
  <c r="F204"/>
  <c r="A205"/>
  <c r="B205"/>
  <c r="C205"/>
  <c r="E205"/>
  <c r="F205"/>
  <c r="A206"/>
  <c r="B206"/>
  <c r="C206"/>
  <c r="E206"/>
  <c r="F206"/>
  <c r="A207"/>
  <c r="B207"/>
  <c r="C207"/>
  <c r="E207"/>
  <c r="F207"/>
  <c r="A208"/>
  <c r="B208"/>
  <c r="C208"/>
  <c r="E208"/>
  <c r="F208"/>
  <c r="A209"/>
  <c r="B209"/>
  <c r="C209"/>
  <c r="E209"/>
  <c r="F209"/>
  <c r="A210"/>
  <c r="B210"/>
  <c r="C210"/>
  <c r="E210"/>
  <c r="F210"/>
  <c r="A211"/>
  <c r="B211"/>
  <c r="C211"/>
  <c r="E211"/>
  <c r="F211"/>
  <c r="A212"/>
  <c r="B212"/>
  <c r="C212"/>
  <c r="E212"/>
  <c r="F212"/>
  <c r="A213"/>
  <c r="B213"/>
  <c r="C213"/>
  <c r="E213"/>
  <c r="F213"/>
  <c r="A214"/>
  <c r="B214"/>
  <c r="C214"/>
  <c r="E214"/>
  <c r="F214"/>
  <c r="A215"/>
  <c r="B215"/>
  <c r="C215"/>
  <c r="E215"/>
  <c r="F215"/>
  <c r="A216"/>
  <c r="B216"/>
  <c r="C216"/>
  <c r="E216"/>
  <c r="F216"/>
  <c r="A217"/>
  <c r="B217"/>
  <c r="C217"/>
  <c r="E217"/>
  <c r="F217"/>
  <c r="A218"/>
  <c r="B218"/>
  <c r="C218"/>
  <c r="E218"/>
  <c r="F218"/>
  <c r="A219"/>
  <c r="B219"/>
  <c r="C219"/>
  <c r="E219"/>
  <c r="F219"/>
  <c r="A220"/>
  <c r="B220"/>
  <c r="C220"/>
  <c r="E220"/>
  <c r="F220"/>
  <c r="A221"/>
  <c r="B221"/>
  <c r="C221"/>
  <c r="E221"/>
  <c r="F221"/>
  <c r="A222"/>
  <c r="B222"/>
  <c r="C222"/>
  <c r="E222"/>
  <c r="F222"/>
  <c r="A223"/>
  <c r="B223"/>
  <c r="C223"/>
  <c r="E223"/>
  <c r="F223"/>
  <c r="A224"/>
  <c r="B224"/>
  <c r="C224"/>
  <c r="E224"/>
  <c r="F224"/>
  <c r="A225"/>
  <c r="B225"/>
  <c r="C225"/>
  <c r="E225"/>
  <c r="F225"/>
  <c r="A226"/>
  <c r="B226"/>
  <c r="C226"/>
  <c r="E226"/>
  <c r="F226"/>
  <c r="A227"/>
  <c r="B227"/>
  <c r="C227"/>
  <c r="E227"/>
  <c r="F227"/>
  <c r="A228"/>
  <c r="B228"/>
  <c r="C228"/>
  <c r="E228"/>
  <c r="F228"/>
  <c r="A229"/>
  <c r="B229"/>
  <c r="C229"/>
  <c r="E229"/>
  <c r="F229"/>
  <c r="A230"/>
  <c r="B230"/>
  <c r="C230"/>
  <c r="E230"/>
  <c r="F230"/>
  <c r="A231"/>
  <c r="B231"/>
  <c r="C231"/>
  <c r="E231"/>
  <c r="F231"/>
  <c r="A232"/>
  <c r="B232"/>
  <c r="C232"/>
  <c r="E232"/>
  <c r="F232"/>
  <c r="A233"/>
  <c r="B233"/>
  <c r="C233"/>
  <c r="E233"/>
  <c r="F233"/>
  <c r="A234"/>
  <c r="B234"/>
  <c r="C234"/>
  <c r="E234"/>
  <c r="F234"/>
  <c r="A235"/>
  <c r="B235"/>
  <c r="C235"/>
  <c r="E235"/>
  <c r="F235"/>
  <c r="A236"/>
  <c r="B236"/>
  <c r="C236"/>
  <c r="E236"/>
  <c r="F236"/>
  <c r="A237"/>
  <c r="B237"/>
  <c r="C237"/>
  <c r="E237"/>
  <c r="F237"/>
  <c r="A238"/>
  <c r="B238"/>
  <c r="C238"/>
  <c r="E238"/>
  <c r="F238"/>
  <c r="A239"/>
  <c r="B239"/>
  <c r="C239"/>
  <c r="E239"/>
  <c r="F239"/>
  <c r="A240"/>
  <c r="B240"/>
  <c r="C240"/>
  <c r="E240"/>
  <c r="F240"/>
  <c r="A241"/>
  <c r="B241"/>
  <c r="C241"/>
  <c r="E241"/>
  <c r="F241"/>
  <c r="A242"/>
  <c r="B242"/>
  <c r="C242"/>
  <c r="E242"/>
  <c r="F242"/>
  <c r="A243"/>
  <c r="B243"/>
  <c r="C243"/>
  <c r="E243"/>
  <c r="F243"/>
  <c r="A244"/>
  <c r="B244"/>
  <c r="C244"/>
  <c r="E244"/>
  <c r="F244"/>
  <c r="A245"/>
  <c r="B245"/>
  <c r="C245"/>
  <c r="E245"/>
  <c r="F245"/>
  <c r="A246"/>
  <c r="B246"/>
  <c r="C246"/>
  <c r="E246"/>
  <c r="F246"/>
  <c r="A247"/>
  <c r="B247"/>
  <c r="C247"/>
  <c r="E247"/>
  <c r="F247"/>
  <c r="A248"/>
  <c r="B248"/>
  <c r="C248"/>
  <c r="E248"/>
  <c r="F248"/>
  <c r="A249"/>
  <c r="B249"/>
  <c r="C249"/>
  <c r="E249"/>
  <c r="F249"/>
  <c r="A250"/>
  <c r="B250"/>
  <c r="C250"/>
  <c r="E250"/>
  <c r="F250"/>
  <c r="A251"/>
  <c r="B251"/>
  <c r="C251"/>
  <c r="E251"/>
  <c r="F251"/>
  <c r="A252"/>
  <c r="B252"/>
  <c r="C252"/>
  <c r="E252"/>
  <c r="F252"/>
  <c r="A253"/>
  <c r="B253"/>
  <c r="C253"/>
  <c r="E253"/>
  <c r="F253"/>
  <c r="A254"/>
  <c r="B254"/>
  <c r="C254"/>
  <c r="E254"/>
  <c r="F254"/>
  <c r="A255"/>
  <c r="B255"/>
  <c r="C255"/>
  <c r="E255"/>
  <c r="F255"/>
  <c r="A256"/>
  <c r="B256"/>
  <c r="C256"/>
  <c r="E256"/>
  <c r="F256"/>
  <c r="A257"/>
  <c r="B257"/>
  <c r="C257"/>
  <c r="E257"/>
  <c r="F257"/>
  <c r="A258"/>
  <c r="B258"/>
  <c r="C258"/>
  <c r="E258"/>
  <c r="F258"/>
  <c r="A259"/>
  <c r="B259"/>
  <c r="C259"/>
  <c r="E259"/>
  <c r="F259"/>
  <c r="A260"/>
  <c r="B260"/>
  <c r="C260"/>
  <c r="E260"/>
  <c r="F260"/>
  <c r="A261"/>
  <c r="B261"/>
  <c r="C261"/>
  <c r="E261"/>
  <c r="F261"/>
  <c r="A262"/>
  <c r="B262"/>
  <c r="C262"/>
  <c r="E262"/>
  <c r="F262"/>
  <c r="A263"/>
  <c r="B263"/>
  <c r="C263"/>
  <c r="E263"/>
  <c r="F263"/>
  <c r="A264"/>
  <c r="B264"/>
  <c r="C264"/>
  <c r="E264"/>
  <c r="F264"/>
  <c r="A265"/>
  <c r="B265"/>
  <c r="C265"/>
  <c r="E265"/>
  <c r="F265"/>
  <c r="A266"/>
  <c r="B266"/>
  <c r="C266"/>
  <c r="E266"/>
  <c r="F266"/>
  <c r="A267"/>
  <c r="B267"/>
  <c r="C267"/>
  <c r="E267"/>
  <c r="F267"/>
  <c r="A268"/>
  <c r="B268"/>
  <c r="C268"/>
  <c r="E268"/>
  <c r="F268"/>
  <c r="A269"/>
  <c r="B269"/>
  <c r="C269"/>
  <c r="E269"/>
  <c r="F269"/>
  <c r="A270"/>
  <c r="B270"/>
  <c r="C270"/>
  <c r="E270"/>
  <c r="F270"/>
  <c r="A271"/>
  <c r="B271"/>
  <c r="C271"/>
  <c r="E271"/>
  <c r="F271"/>
  <c r="A272"/>
  <c r="B272"/>
  <c r="C272"/>
  <c r="E272"/>
  <c r="F272"/>
  <c r="A273"/>
  <c r="B273"/>
  <c r="C273"/>
  <c r="E273"/>
  <c r="F273"/>
  <c r="A274"/>
  <c r="B274"/>
  <c r="C274"/>
  <c r="E274"/>
  <c r="F274"/>
  <c r="A275"/>
  <c r="B275"/>
  <c r="C275"/>
  <c r="E275"/>
  <c r="F275"/>
  <c r="A276"/>
  <c r="B276"/>
  <c r="C276"/>
  <c r="E276"/>
  <c r="F276"/>
  <c r="A277"/>
  <c r="B277"/>
  <c r="C277"/>
  <c r="E277"/>
  <c r="F277"/>
  <c r="A278"/>
  <c r="B278"/>
  <c r="C278"/>
  <c r="E278"/>
  <c r="F278"/>
  <c r="A279"/>
  <c r="B279"/>
  <c r="C279"/>
  <c r="E279"/>
  <c r="F279"/>
  <c r="A280"/>
  <c r="B280"/>
  <c r="C280"/>
  <c r="E280"/>
  <c r="F280"/>
  <c r="A281"/>
  <c r="B281"/>
  <c r="C281"/>
  <c r="E281"/>
  <c r="F281"/>
  <c r="A282"/>
  <c r="B282"/>
  <c r="C282"/>
  <c r="E282"/>
  <c r="F282"/>
  <c r="A283"/>
  <c r="B283"/>
  <c r="C283"/>
  <c r="E283"/>
  <c r="F283"/>
  <c r="A284"/>
  <c r="B284"/>
  <c r="C284"/>
  <c r="E284"/>
  <c r="F284"/>
  <c r="A285"/>
  <c r="B285"/>
  <c r="C285"/>
  <c r="E285"/>
  <c r="F285"/>
  <c r="A286"/>
  <c r="B286"/>
  <c r="C286"/>
  <c r="E286"/>
  <c r="F286"/>
  <c r="A287"/>
  <c r="B287"/>
  <c r="C287"/>
  <c r="E287"/>
  <c r="F287"/>
  <c r="A288"/>
  <c r="B288"/>
  <c r="C288"/>
  <c r="E288"/>
  <c r="F288"/>
  <c r="A289"/>
  <c r="B289"/>
  <c r="C289"/>
  <c r="E289"/>
  <c r="F289"/>
  <c r="A290"/>
  <c r="B290"/>
  <c r="C290"/>
  <c r="E290"/>
  <c r="F290"/>
  <c r="A291"/>
  <c r="B291"/>
  <c r="C291"/>
  <c r="E291"/>
  <c r="F291"/>
  <c r="A292"/>
  <c r="B292"/>
  <c r="C292"/>
  <c r="E292"/>
  <c r="F292"/>
  <c r="A293"/>
  <c r="B293"/>
  <c r="C293"/>
  <c r="E293"/>
  <c r="F293"/>
  <c r="A294"/>
  <c r="B294"/>
  <c r="C294"/>
  <c r="E294"/>
  <c r="F294"/>
  <c r="A295"/>
  <c r="B295"/>
  <c r="C295"/>
  <c r="E295"/>
  <c r="F295"/>
  <c r="A296"/>
  <c r="B296"/>
  <c r="C296"/>
  <c r="E296"/>
  <c r="F296"/>
  <c r="A297"/>
  <c r="B297"/>
  <c r="C297"/>
  <c r="E297"/>
  <c r="F297"/>
  <c r="A298"/>
  <c r="B298"/>
  <c r="C298"/>
  <c r="E298"/>
  <c r="F298"/>
  <c r="A299"/>
  <c r="B299"/>
  <c r="C299"/>
  <c r="E299"/>
  <c r="F299"/>
  <c r="A300"/>
  <c r="B300"/>
  <c r="C300"/>
  <c r="E300"/>
  <c r="F300"/>
  <c r="A301"/>
  <c r="B301"/>
  <c r="C301"/>
  <c r="E301"/>
  <c r="F301"/>
  <c r="A302"/>
  <c r="B302"/>
  <c r="C302"/>
  <c r="E302"/>
  <c r="F302"/>
  <c r="A303"/>
  <c r="B303"/>
  <c r="C303"/>
  <c r="E303"/>
  <c r="F303"/>
  <c r="A304"/>
  <c r="B304"/>
  <c r="C304"/>
  <c r="E304"/>
  <c r="F304"/>
  <c r="A305"/>
  <c r="B305"/>
  <c r="C305"/>
  <c r="E305"/>
  <c r="F305"/>
  <c r="A306"/>
  <c r="B306"/>
  <c r="C306"/>
  <c r="E306"/>
  <c r="F306"/>
  <c r="A307"/>
  <c r="B307"/>
  <c r="C307"/>
  <c r="E307"/>
  <c r="F307"/>
  <c r="A308"/>
  <c r="B308"/>
  <c r="C308"/>
  <c r="E308"/>
  <c r="F308"/>
  <c r="A309"/>
  <c r="B309"/>
  <c r="C309"/>
  <c r="E309"/>
  <c r="F309"/>
  <c r="A310"/>
  <c r="B310"/>
  <c r="C310"/>
  <c r="E310"/>
  <c r="F310"/>
  <c r="A311"/>
  <c r="B311"/>
  <c r="C311"/>
  <c r="E311"/>
  <c r="F311"/>
  <c r="A312"/>
  <c r="B312"/>
  <c r="C312"/>
  <c r="E312"/>
  <c r="F312"/>
  <c r="A313"/>
  <c r="B313"/>
  <c r="C313"/>
  <c r="E313"/>
  <c r="F313"/>
  <c r="A314"/>
  <c r="B314"/>
  <c r="C314"/>
  <c r="E314"/>
  <c r="F314"/>
  <c r="A315"/>
  <c r="B315"/>
  <c r="C315"/>
  <c r="E315"/>
  <c r="F315"/>
  <c r="A316"/>
  <c r="B316"/>
  <c r="C316"/>
  <c r="E316"/>
  <c r="F316"/>
  <c r="A317"/>
  <c r="B317"/>
  <c r="C317"/>
  <c r="E317"/>
  <c r="F317"/>
  <c r="A318"/>
  <c r="B318"/>
  <c r="C318"/>
  <c r="E318"/>
  <c r="F318"/>
  <c r="A319"/>
  <c r="B319"/>
  <c r="C319"/>
  <c r="E319"/>
  <c r="F319"/>
  <c r="A320"/>
  <c r="B320"/>
  <c r="C320"/>
  <c r="E320"/>
  <c r="F320"/>
  <c r="A321"/>
  <c r="B321"/>
  <c r="C321"/>
  <c r="E321"/>
  <c r="F321"/>
  <c r="A322"/>
  <c r="B322"/>
  <c r="C322"/>
  <c r="E322"/>
  <c r="F322"/>
  <c r="A323"/>
  <c r="B323"/>
  <c r="C323"/>
  <c r="E323"/>
  <c r="F323"/>
  <c r="A324"/>
  <c r="B324"/>
  <c r="C324"/>
  <c r="E324"/>
  <c r="F324"/>
  <c r="A325"/>
  <c r="B325"/>
  <c r="C325"/>
  <c r="E325"/>
  <c r="F325"/>
  <c r="A326"/>
  <c r="B326"/>
  <c r="C326"/>
  <c r="E326"/>
  <c r="F326"/>
  <c r="A327"/>
  <c r="B327"/>
  <c r="C327"/>
  <c r="E327"/>
  <c r="F327"/>
  <c r="A328"/>
  <c r="B328"/>
  <c r="C328"/>
  <c r="E328"/>
  <c r="F328"/>
  <c r="A329"/>
  <c r="B329"/>
  <c r="C329"/>
  <c r="E329"/>
  <c r="F329"/>
  <c r="A330"/>
  <c r="B330"/>
  <c r="C330"/>
  <c r="E330"/>
  <c r="F330"/>
  <c r="A331"/>
  <c r="B331"/>
  <c r="C331"/>
  <c r="E331"/>
  <c r="F331"/>
  <c r="A332"/>
  <c r="B332"/>
  <c r="C332"/>
  <c r="E332"/>
  <c r="F332"/>
  <c r="A333"/>
  <c r="B333"/>
  <c r="C333"/>
  <c r="E333"/>
  <c r="F333"/>
  <c r="A334"/>
  <c r="B334"/>
  <c r="C334"/>
  <c r="E334"/>
  <c r="F334"/>
  <c r="A335"/>
  <c r="B335"/>
  <c r="C335"/>
  <c r="E335"/>
  <c r="F335"/>
  <c r="A336"/>
  <c r="B336"/>
  <c r="C336"/>
  <c r="E336"/>
  <c r="F336"/>
  <c r="A337"/>
  <c r="B337"/>
  <c r="C337"/>
  <c r="E337"/>
  <c r="F337"/>
  <c r="A338"/>
  <c r="B338"/>
  <c r="C338"/>
  <c r="E338"/>
  <c r="F338"/>
  <c r="A339"/>
  <c r="B339"/>
  <c r="C339"/>
  <c r="E339"/>
  <c r="F339"/>
  <c r="A340"/>
  <c r="B340"/>
  <c r="C340"/>
  <c r="E340"/>
  <c r="F340"/>
  <c r="A341"/>
  <c r="B341"/>
  <c r="C341"/>
  <c r="E341"/>
  <c r="F341"/>
  <c r="A342"/>
  <c r="B342"/>
  <c r="C342"/>
  <c r="E342"/>
  <c r="F342"/>
  <c r="A343"/>
  <c r="B343"/>
  <c r="C343"/>
  <c r="E343"/>
  <c r="F343"/>
  <c r="A344"/>
  <c r="B344"/>
  <c r="C344"/>
  <c r="E344"/>
  <c r="F344"/>
  <c r="A345"/>
  <c r="B345"/>
  <c r="C345"/>
  <c r="E345"/>
  <c r="F345"/>
  <c r="A346"/>
  <c r="B346"/>
  <c r="C346"/>
  <c r="E346"/>
  <c r="F346"/>
  <c r="A347"/>
  <c r="B347"/>
  <c r="C347"/>
  <c r="E347"/>
  <c r="F347"/>
  <c r="A348"/>
  <c r="B348"/>
  <c r="C348"/>
  <c r="E348"/>
  <c r="F348"/>
  <c r="A349"/>
  <c r="B349"/>
  <c r="C349"/>
  <c r="E349"/>
  <c r="F349"/>
  <c r="A350"/>
  <c r="B350"/>
  <c r="C350"/>
  <c r="E350"/>
  <c r="F350"/>
  <c r="A351"/>
  <c r="B351"/>
  <c r="C351"/>
  <c r="E351"/>
  <c r="F351"/>
  <c r="A352"/>
  <c r="B352"/>
  <c r="C352"/>
  <c r="E352"/>
  <c r="F352"/>
  <c r="A353"/>
  <c r="B353"/>
  <c r="C353"/>
  <c r="E353"/>
  <c r="F353"/>
  <c r="A354"/>
  <c r="B354"/>
  <c r="C354"/>
  <c r="E354"/>
  <c r="F354"/>
  <c r="A355"/>
  <c r="B355"/>
  <c r="C355"/>
  <c r="E355"/>
  <c r="F355"/>
  <c r="A356"/>
  <c r="B356"/>
  <c r="C356"/>
  <c r="E356"/>
  <c r="F356"/>
  <c r="A357"/>
  <c r="B357"/>
  <c r="C357"/>
  <c r="E357"/>
  <c r="F357"/>
  <c r="A358"/>
  <c r="B358"/>
  <c r="C358"/>
  <c r="E358"/>
  <c r="F358"/>
  <c r="A359"/>
  <c r="B359"/>
  <c r="C359"/>
  <c r="E359"/>
  <c r="F359"/>
  <c r="A360"/>
  <c r="B360"/>
  <c r="C360"/>
  <c r="E360"/>
  <c r="F360"/>
  <c r="A361"/>
  <c r="B361"/>
  <c r="C361"/>
  <c r="E361"/>
  <c r="F361"/>
  <c r="A362"/>
  <c r="B362"/>
  <c r="C362"/>
  <c r="E362"/>
  <c r="F362"/>
  <c r="A363"/>
  <c r="B363"/>
  <c r="C363"/>
  <c r="E363"/>
  <c r="F363"/>
  <c r="A364"/>
  <c r="B364"/>
  <c r="C364"/>
  <c r="E364"/>
  <c r="F364"/>
  <c r="A365"/>
  <c r="B365"/>
  <c r="C365"/>
  <c r="E365"/>
  <c r="F365"/>
  <c r="A366"/>
  <c r="B366"/>
  <c r="C366"/>
  <c r="E366"/>
  <c r="F366"/>
  <c r="A367"/>
  <c r="B367"/>
  <c r="C367"/>
  <c r="E367"/>
  <c r="F367"/>
  <c r="A368"/>
  <c r="B368"/>
  <c r="C368"/>
  <c r="E368"/>
  <c r="F368"/>
  <c r="A369"/>
  <c r="B369"/>
  <c r="C369"/>
  <c r="E369"/>
  <c r="F369"/>
  <c r="A370"/>
  <c r="B370"/>
  <c r="C370"/>
  <c r="E370"/>
  <c r="F370"/>
  <c r="A371"/>
  <c r="B371"/>
  <c r="C371"/>
  <c r="E371"/>
  <c r="F371"/>
  <c r="A372"/>
  <c r="B372"/>
  <c r="C372"/>
  <c r="E372"/>
  <c r="F372"/>
  <c r="A373"/>
  <c r="B373"/>
  <c r="C373"/>
  <c r="E373"/>
  <c r="F373"/>
  <c r="A374"/>
  <c r="B374"/>
  <c r="C374"/>
  <c r="E374"/>
  <c r="F374"/>
  <c r="A375"/>
  <c r="B375"/>
  <c r="C375"/>
  <c r="E375"/>
  <c r="F375"/>
  <c r="A376"/>
  <c r="B376"/>
  <c r="C376"/>
  <c r="E376"/>
  <c r="F376"/>
  <c r="A377"/>
  <c r="B377"/>
  <c r="C377"/>
  <c r="E377"/>
  <c r="F377"/>
  <c r="A378"/>
  <c r="B378"/>
  <c r="C378"/>
  <c r="E378"/>
  <c r="F378"/>
  <c r="A379"/>
  <c r="B379"/>
  <c r="C379"/>
  <c r="E379"/>
  <c r="F379"/>
  <c r="A380"/>
  <c r="B380"/>
  <c r="C380"/>
  <c r="E380"/>
  <c r="F380"/>
  <c r="A381"/>
  <c r="B381"/>
  <c r="C381"/>
  <c r="E381"/>
  <c r="F381"/>
  <c r="A382"/>
  <c r="B382"/>
  <c r="C382"/>
  <c r="E382"/>
  <c r="F382"/>
  <c r="A383"/>
  <c r="B383"/>
  <c r="C383"/>
  <c r="E383"/>
  <c r="F383"/>
  <c r="A384"/>
  <c r="B384"/>
  <c r="C384"/>
  <c r="E384"/>
  <c r="F384"/>
  <c r="A385"/>
  <c r="B385"/>
  <c r="C385"/>
  <c r="E385"/>
  <c r="F385"/>
  <c r="A386"/>
  <c r="B386"/>
  <c r="C386"/>
  <c r="E386"/>
  <c r="F386"/>
  <c r="A387"/>
  <c r="B387"/>
  <c r="C387"/>
  <c r="E387"/>
  <c r="F387"/>
  <c r="A388"/>
  <c r="B388"/>
  <c r="C388"/>
  <c r="E388"/>
  <c r="F388"/>
  <c r="A389"/>
  <c r="B389"/>
  <c r="C389"/>
  <c r="E389"/>
  <c r="F389"/>
  <c r="A390"/>
  <c r="B390"/>
  <c r="C390"/>
  <c r="E390"/>
  <c r="F390"/>
  <c r="A391"/>
  <c r="B391"/>
  <c r="C391"/>
  <c r="E391"/>
  <c r="F391"/>
  <c r="A392"/>
  <c r="B392"/>
  <c r="C392"/>
  <c r="E392"/>
  <c r="F392"/>
  <c r="A393"/>
  <c r="B393"/>
  <c r="C393"/>
  <c r="E393"/>
  <c r="F393"/>
  <c r="A394"/>
  <c r="B394"/>
  <c r="C394"/>
  <c r="E394"/>
  <c r="F394"/>
  <c r="A395"/>
  <c r="B395"/>
  <c r="C395"/>
  <c r="E395"/>
  <c r="F395"/>
  <c r="A396"/>
  <c r="B396"/>
  <c r="C396"/>
  <c r="E396"/>
  <c r="F396"/>
  <c r="A397"/>
  <c r="B397"/>
  <c r="C397"/>
  <c r="E397"/>
  <c r="F397"/>
  <c r="A398"/>
  <c r="B398"/>
  <c r="C398"/>
  <c r="E398"/>
  <c r="F398"/>
  <c r="A399"/>
  <c r="B399"/>
  <c r="C399"/>
  <c r="E399"/>
  <c r="F399"/>
  <c r="A400"/>
  <c r="B400"/>
  <c r="C400"/>
  <c r="E400"/>
  <c r="F400"/>
  <c r="A401"/>
  <c r="B401"/>
  <c r="C401"/>
  <c r="E401"/>
  <c r="F401"/>
  <c r="A402"/>
  <c r="B402"/>
  <c r="C402"/>
  <c r="E402"/>
  <c r="F402"/>
  <c r="A403"/>
  <c r="B403"/>
  <c r="C403"/>
  <c r="E403"/>
  <c r="F403"/>
  <c r="A404"/>
  <c r="B404"/>
  <c r="C404"/>
  <c r="E404"/>
  <c r="F404"/>
  <c r="A405"/>
  <c r="B405"/>
  <c r="C405"/>
  <c r="E405"/>
  <c r="F405"/>
  <c r="A406"/>
  <c r="B406"/>
  <c r="C406"/>
  <c r="E406"/>
  <c r="F406"/>
  <c r="A407"/>
  <c r="B407"/>
  <c r="C407"/>
  <c r="E407"/>
  <c r="F407"/>
  <c r="A408"/>
  <c r="B408"/>
  <c r="C408"/>
  <c r="E408"/>
  <c r="F408"/>
  <c r="A409"/>
  <c r="B409"/>
  <c r="C409"/>
  <c r="E409"/>
  <c r="F409"/>
  <c r="A410"/>
  <c r="B410"/>
  <c r="C410"/>
  <c r="E410"/>
  <c r="F410"/>
  <c r="A411"/>
  <c r="B411"/>
  <c r="C411"/>
  <c r="E411"/>
  <c r="F411"/>
  <c r="A412"/>
  <c r="B412"/>
  <c r="C412"/>
  <c r="E412"/>
  <c r="F412"/>
  <c r="A413"/>
  <c r="B413"/>
  <c r="C413"/>
  <c r="E413"/>
  <c r="F413"/>
  <c r="A414"/>
  <c r="B414"/>
  <c r="C414"/>
  <c r="E414"/>
  <c r="F414"/>
  <c r="A415"/>
  <c r="B415"/>
  <c r="C415"/>
  <c r="E415"/>
  <c r="F415"/>
  <c r="A416"/>
  <c r="B416"/>
  <c r="C416"/>
  <c r="E416"/>
  <c r="F416"/>
  <c r="A417"/>
  <c r="B417"/>
  <c r="C417"/>
  <c r="E417"/>
  <c r="F417"/>
  <c r="A418"/>
  <c r="B418"/>
  <c r="C418"/>
  <c r="E418"/>
  <c r="F418"/>
  <c r="A419"/>
  <c r="B419"/>
  <c r="C419"/>
  <c r="E419"/>
  <c r="F419"/>
  <c r="A420"/>
  <c r="B420"/>
  <c r="C420"/>
  <c r="E420"/>
  <c r="F420"/>
  <c r="A421"/>
  <c r="B421"/>
  <c r="C421"/>
  <c r="E421"/>
  <c r="F421"/>
  <c r="A422"/>
  <c r="B422"/>
  <c r="C422"/>
  <c r="E422"/>
  <c r="F422"/>
  <c r="A423"/>
  <c r="B423"/>
  <c r="C423"/>
  <c r="E423"/>
  <c r="F423"/>
  <c r="A424"/>
  <c r="B424"/>
  <c r="C424"/>
  <c r="E424"/>
  <c r="F424"/>
  <c r="A425"/>
  <c r="B425"/>
  <c r="C425"/>
  <c r="E425"/>
  <c r="F425"/>
  <c r="A426"/>
  <c r="B426"/>
  <c r="C426"/>
  <c r="E426"/>
  <c r="F426"/>
  <c r="A427"/>
  <c r="B427"/>
  <c r="C427"/>
  <c r="E427"/>
  <c r="F427"/>
  <c r="A428"/>
  <c r="B428"/>
  <c r="C428"/>
  <c r="E428"/>
  <c r="F428"/>
  <c r="A429"/>
  <c r="B429"/>
  <c r="C429"/>
  <c r="E429"/>
  <c r="F429"/>
  <c r="A430"/>
  <c r="B430"/>
  <c r="C430"/>
  <c r="E430"/>
  <c r="F430"/>
  <c r="A1" i="10"/>
  <c r="B1"/>
  <c r="C1"/>
  <c r="D1"/>
  <c r="E1"/>
  <c r="F1"/>
  <c r="A2"/>
  <c r="B2"/>
  <c r="C2"/>
  <c r="E2"/>
  <c r="F2"/>
  <c r="A3"/>
  <c r="B3"/>
  <c r="C3"/>
  <c r="E3"/>
  <c r="F3"/>
  <c r="A4"/>
  <c r="B4"/>
  <c r="C4"/>
  <c r="E4"/>
  <c r="F4"/>
  <c r="A5"/>
  <c r="B5"/>
  <c r="C5"/>
  <c r="E5"/>
  <c r="F5"/>
  <c r="A6"/>
  <c r="B6"/>
  <c r="C6"/>
  <c r="E6"/>
  <c r="F6"/>
  <c r="A7"/>
  <c r="B7"/>
  <c r="C7"/>
  <c r="E7"/>
  <c r="F7"/>
  <c r="A8"/>
  <c r="B8"/>
  <c r="C8"/>
  <c r="E8"/>
  <c r="F8"/>
  <c r="A9"/>
  <c r="B9"/>
  <c r="C9"/>
  <c r="E9"/>
  <c r="F9"/>
  <c r="A10"/>
  <c r="B10"/>
  <c r="C10"/>
  <c r="E10"/>
  <c r="F10"/>
  <c r="A11"/>
  <c r="B11"/>
  <c r="C11"/>
  <c r="E11"/>
  <c r="F11"/>
  <c r="A12"/>
  <c r="B12"/>
  <c r="C12"/>
  <c r="E12"/>
  <c r="F12"/>
  <c r="A13"/>
  <c r="B13"/>
  <c r="C13"/>
  <c r="E13"/>
  <c r="F13"/>
  <c r="A14"/>
  <c r="B14"/>
  <c r="C14"/>
  <c r="E14"/>
  <c r="F14"/>
  <c r="A15"/>
  <c r="B15"/>
  <c r="C15"/>
  <c r="E15"/>
  <c r="F15"/>
  <c r="A16"/>
  <c r="B16"/>
  <c r="C16"/>
  <c r="E16"/>
  <c r="F16"/>
  <c r="A17"/>
  <c r="B17"/>
  <c r="C17"/>
  <c r="E17"/>
  <c r="F17"/>
  <c r="A18"/>
  <c r="B18"/>
  <c r="C18"/>
  <c r="E18"/>
  <c r="F18"/>
  <c r="A19"/>
  <c r="B19"/>
  <c r="C19"/>
  <c r="E19"/>
  <c r="F19"/>
  <c r="A20"/>
  <c r="B20"/>
  <c r="C20"/>
  <c r="E20"/>
  <c r="F20"/>
  <c r="A21"/>
  <c r="B21"/>
  <c r="C21"/>
  <c r="E21"/>
  <c r="F21"/>
  <c r="A22"/>
  <c r="B22"/>
  <c r="C22"/>
  <c r="E22"/>
  <c r="F22"/>
  <c r="A23"/>
  <c r="B23"/>
  <c r="C23"/>
  <c r="E23"/>
  <c r="F23"/>
  <c r="A24"/>
  <c r="B24"/>
  <c r="C24"/>
  <c r="E24"/>
  <c r="F24"/>
  <c r="A25"/>
  <c r="B25"/>
  <c r="C25"/>
  <c r="E25"/>
  <c r="F25"/>
  <c r="A26"/>
  <c r="B26"/>
  <c r="C26"/>
  <c r="E26"/>
  <c r="F26"/>
  <c r="A27"/>
  <c r="B27"/>
  <c r="C27"/>
  <c r="E27"/>
  <c r="F27"/>
  <c r="A28"/>
  <c r="B28"/>
  <c r="C28"/>
  <c r="E28"/>
  <c r="F28"/>
  <c r="A29"/>
  <c r="B29"/>
  <c r="C29"/>
  <c r="E29"/>
  <c r="F29"/>
  <c r="A30"/>
  <c r="B30"/>
  <c r="C30"/>
  <c r="E30"/>
  <c r="F30"/>
  <c r="A31"/>
  <c r="B31"/>
  <c r="C31"/>
  <c r="E31"/>
  <c r="F31"/>
  <c r="A32"/>
  <c r="B32"/>
  <c r="C32"/>
  <c r="E32"/>
  <c r="F32"/>
  <c r="A33"/>
  <c r="B33"/>
  <c r="C33"/>
  <c r="E33"/>
  <c r="F33"/>
  <c r="A34"/>
  <c r="B34"/>
  <c r="C34"/>
  <c r="E34"/>
  <c r="F34"/>
  <c r="A35"/>
  <c r="B35"/>
  <c r="C35"/>
  <c r="E35"/>
  <c r="F35"/>
  <c r="A36"/>
  <c r="B36"/>
  <c r="C36"/>
  <c r="E36"/>
  <c r="F36"/>
  <c r="A37"/>
  <c r="B37"/>
  <c r="C37"/>
  <c r="E37"/>
  <c r="F37"/>
  <c r="A38"/>
  <c r="B38"/>
  <c r="C38"/>
  <c r="E38"/>
  <c r="F38"/>
  <c r="A39"/>
  <c r="B39"/>
  <c r="C39"/>
  <c r="E39"/>
  <c r="F39"/>
  <c r="A40"/>
  <c r="B40"/>
  <c r="C40"/>
  <c r="E40"/>
  <c r="F40"/>
  <c r="A41"/>
  <c r="B41"/>
  <c r="C41"/>
  <c r="E41"/>
  <c r="F41"/>
  <c r="A42"/>
  <c r="B42"/>
  <c r="C42"/>
  <c r="E42"/>
  <c r="F42"/>
  <c r="A43"/>
  <c r="B43"/>
  <c r="C43"/>
  <c r="E43"/>
  <c r="F43"/>
  <c r="A44"/>
  <c r="B44"/>
  <c r="C44"/>
  <c r="E44"/>
  <c r="F44"/>
  <c r="A45"/>
  <c r="B45"/>
  <c r="C45"/>
  <c r="E45"/>
  <c r="F45"/>
  <c r="A46"/>
  <c r="B46"/>
  <c r="C46"/>
  <c r="E46"/>
  <c r="F46"/>
  <c r="A47"/>
  <c r="B47"/>
  <c r="C47"/>
  <c r="E47"/>
  <c r="F47"/>
  <c r="A48"/>
  <c r="B48"/>
  <c r="C48"/>
  <c r="E48"/>
  <c r="F48"/>
  <c r="A49"/>
  <c r="B49"/>
  <c r="C49"/>
  <c r="E49"/>
  <c r="F49"/>
  <c r="A50"/>
  <c r="B50"/>
  <c r="C50"/>
  <c r="E50"/>
  <c r="F50"/>
  <c r="A51"/>
  <c r="B51"/>
  <c r="C51"/>
  <c r="E51"/>
  <c r="F51"/>
  <c r="A52"/>
  <c r="B52"/>
  <c r="C52"/>
  <c r="E52"/>
  <c r="F52"/>
  <c r="A53"/>
  <c r="B53"/>
  <c r="C53"/>
  <c r="E53"/>
  <c r="F53"/>
  <c r="A54"/>
  <c r="B54"/>
  <c r="C54"/>
  <c r="E54"/>
  <c r="F54"/>
  <c r="A55"/>
  <c r="B55"/>
  <c r="C55"/>
  <c r="E55"/>
  <c r="F55"/>
  <c r="A56"/>
  <c r="B56"/>
  <c r="C56"/>
  <c r="E56"/>
  <c r="F56"/>
  <c r="A57"/>
  <c r="B57"/>
  <c r="C57"/>
  <c r="E57"/>
  <c r="F57"/>
  <c r="A58"/>
  <c r="B58"/>
  <c r="C58"/>
  <c r="E58"/>
  <c r="F58"/>
  <c r="A59"/>
  <c r="B59"/>
  <c r="C59"/>
  <c r="E59"/>
  <c r="F59"/>
  <c r="A60"/>
  <c r="B60"/>
  <c r="C60"/>
  <c r="E60"/>
  <c r="F60"/>
  <c r="A61"/>
  <c r="B61"/>
  <c r="C61"/>
  <c r="E61"/>
  <c r="F61"/>
  <c r="A62"/>
  <c r="B62"/>
  <c r="C62"/>
  <c r="E62"/>
  <c r="F62"/>
  <c r="A63"/>
  <c r="B63"/>
  <c r="C63"/>
  <c r="E63"/>
  <c r="F63"/>
  <c r="A64"/>
  <c r="B64"/>
  <c r="C64"/>
  <c r="E64"/>
  <c r="F64"/>
  <c r="A65"/>
  <c r="B65"/>
  <c r="C65"/>
  <c r="E65"/>
  <c r="F65"/>
  <c r="A66"/>
  <c r="B66"/>
  <c r="C66"/>
  <c r="E66"/>
  <c r="F66"/>
  <c r="A67"/>
  <c r="B67"/>
  <c r="C67"/>
  <c r="E67"/>
  <c r="F67"/>
  <c r="A68"/>
  <c r="B68"/>
  <c r="C68"/>
  <c r="E68"/>
  <c r="F68"/>
  <c r="A69"/>
  <c r="B69"/>
  <c r="C69"/>
  <c r="E69"/>
  <c r="F69"/>
  <c r="A70"/>
  <c r="B70"/>
  <c r="C70"/>
  <c r="E70"/>
  <c r="F70"/>
  <c r="A71"/>
  <c r="B71"/>
  <c r="C71"/>
  <c r="E71"/>
  <c r="F71"/>
  <c r="A72"/>
  <c r="B72"/>
  <c r="C72"/>
  <c r="E72"/>
  <c r="F72"/>
  <c r="A73"/>
  <c r="B73"/>
  <c r="C73"/>
  <c r="E73"/>
  <c r="F73"/>
  <c r="A74"/>
  <c r="B74"/>
  <c r="C74"/>
  <c r="E74"/>
  <c r="F74"/>
  <c r="A75"/>
  <c r="B75"/>
  <c r="C75"/>
  <c r="E75"/>
  <c r="F75"/>
  <c r="A76"/>
  <c r="B76"/>
  <c r="C76"/>
  <c r="E76"/>
  <c r="F76"/>
  <c r="A77"/>
  <c r="B77"/>
  <c r="C77"/>
  <c r="E77"/>
  <c r="F77"/>
  <c r="A78"/>
  <c r="B78"/>
  <c r="C78"/>
  <c r="E78"/>
  <c r="F78"/>
  <c r="A79"/>
  <c r="B79"/>
  <c r="C79"/>
  <c r="E79"/>
  <c r="F79"/>
  <c r="A80"/>
  <c r="B80"/>
  <c r="C80"/>
  <c r="E80"/>
  <c r="F80"/>
  <c r="A81"/>
  <c r="B81"/>
  <c r="C81"/>
  <c r="E81"/>
  <c r="F81"/>
  <c r="A82"/>
  <c r="B82"/>
  <c r="C82"/>
  <c r="E82"/>
  <c r="F82"/>
  <c r="A83"/>
  <c r="B83"/>
  <c r="C83"/>
  <c r="E83"/>
  <c r="F83"/>
  <c r="A84"/>
  <c r="B84"/>
  <c r="C84"/>
  <c r="E84"/>
  <c r="F84"/>
  <c r="A85"/>
  <c r="B85"/>
  <c r="C85"/>
  <c r="E85"/>
  <c r="F85"/>
  <c r="A86"/>
  <c r="B86"/>
  <c r="C86"/>
  <c r="E86"/>
  <c r="F86"/>
  <c r="A87"/>
  <c r="B87"/>
  <c r="C87"/>
  <c r="E87"/>
  <c r="F87"/>
  <c r="A88"/>
  <c r="B88"/>
  <c r="C88"/>
  <c r="E88"/>
  <c r="F88"/>
  <c r="A89"/>
  <c r="B89"/>
  <c r="C89"/>
  <c r="E89"/>
  <c r="F89"/>
  <c r="A90"/>
  <c r="B90"/>
  <c r="C90"/>
  <c r="E90"/>
  <c r="F90"/>
  <c r="A91"/>
  <c r="B91"/>
  <c r="C91"/>
  <c r="E91"/>
  <c r="F91"/>
  <c r="A92"/>
  <c r="B92"/>
  <c r="C92"/>
  <c r="E92"/>
  <c r="F92"/>
  <c r="A93"/>
  <c r="B93"/>
  <c r="C93"/>
  <c r="E93"/>
  <c r="F93"/>
  <c r="A94"/>
  <c r="B94"/>
  <c r="C94"/>
  <c r="E94"/>
  <c r="F94"/>
  <c r="A95"/>
  <c r="B95"/>
  <c r="C95"/>
  <c r="E95"/>
  <c r="F95"/>
  <c r="A96"/>
  <c r="B96"/>
  <c r="C96"/>
  <c r="E96"/>
  <c r="F96"/>
  <c r="A97"/>
  <c r="B97"/>
  <c r="C97"/>
  <c r="E97"/>
  <c r="F97"/>
  <c r="A98"/>
  <c r="B98"/>
  <c r="C98"/>
  <c r="E98"/>
  <c r="F98"/>
  <c r="A99"/>
  <c r="B99"/>
  <c r="C99"/>
  <c r="E99"/>
  <c r="F99"/>
  <c r="A100"/>
  <c r="B100"/>
  <c r="C100"/>
  <c r="E100"/>
  <c r="F100"/>
  <c r="A101"/>
  <c r="B101"/>
  <c r="C101"/>
  <c r="E101"/>
  <c r="F101"/>
  <c r="A102"/>
  <c r="B102"/>
  <c r="C102"/>
  <c r="E102"/>
  <c r="F102"/>
  <c r="A103"/>
  <c r="B103"/>
  <c r="C103"/>
  <c r="E103"/>
  <c r="F103"/>
  <c r="A104"/>
  <c r="B104"/>
  <c r="C104"/>
  <c r="E104"/>
  <c r="F104"/>
  <c r="A105"/>
  <c r="B105"/>
  <c r="C105"/>
  <c r="E105"/>
  <c r="F105"/>
  <c r="A106"/>
  <c r="B106"/>
  <c r="C106"/>
  <c r="E106"/>
  <c r="F106"/>
  <c r="A107"/>
  <c r="B107"/>
  <c r="C107"/>
  <c r="E107"/>
  <c r="F107"/>
  <c r="A108"/>
  <c r="B108"/>
  <c r="C108"/>
  <c r="E108"/>
  <c r="F108"/>
  <c r="A109"/>
  <c r="B109"/>
  <c r="C109"/>
  <c r="E109"/>
  <c r="F109"/>
  <c r="A110"/>
  <c r="B110"/>
  <c r="C110"/>
  <c r="E110"/>
  <c r="F110"/>
  <c r="A111"/>
  <c r="B111"/>
  <c r="C111"/>
  <c r="E111"/>
  <c r="F111"/>
  <c r="A112"/>
  <c r="B112"/>
  <c r="C112"/>
  <c r="E112"/>
  <c r="F112"/>
  <c r="A113"/>
  <c r="B113"/>
  <c r="C113"/>
  <c r="E113"/>
  <c r="F113"/>
  <c r="A114"/>
  <c r="B114"/>
  <c r="C114"/>
  <c r="E114"/>
  <c r="F114"/>
  <c r="A115"/>
  <c r="B115"/>
  <c r="C115"/>
  <c r="E115"/>
  <c r="F115"/>
  <c r="A116"/>
  <c r="B116"/>
  <c r="C116"/>
  <c r="E116"/>
  <c r="F116"/>
  <c r="A117"/>
  <c r="B117"/>
  <c r="C117"/>
  <c r="E117"/>
  <c r="F117"/>
  <c r="A118"/>
  <c r="B118"/>
  <c r="C118"/>
  <c r="E118"/>
  <c r="F118"/>
  <c r="A119"/>
  <c r="B119"/>
  <c r="C119"/>
  <c r="E119"/>
  <c r="F119"/>
  <c r="A120"/>
  <c r="B120"/>
  <c r="C120"/>
  <c r="E120"/>
  <c r="F120"/>
  <c r="A121"/>
  <c r="B121"/>
  <c r="C121"/>
  <c r="E121"/>
  <c r="F121"/>
  <c r="A122"/>
  <c r="B122"/>
  <c r="C122"/>
  <c r="E122"/>
  <c r="F122"/>
  <c r="A123"/>
  <c r="B123"/>
  <c r="C123"/>
  <c r="E123"/>
  <c r="F123"/>
  <c r="A124"/>
  <c r="B124"/>
  <c r="C124"/>
  <c r="E124"/>
  <c r="F124"/>
  <c r="A125"/>
  <c r="B125"/>
  <c r="C125"/>
  <c r="E125"/>
  <c r="F125"/>
  <c r="A126"/>
  <c r="B126"/>
  <c r="C126"/>
  <c r="E126"/>
  <c r="F126"/>
  <c r="A127"/>
  <c r="B127"/>
  <c r="C127"/>
  <c r="E127"/>
  <c r="F127"/>
  <c r="A128"/>
  <c r="B128"/>
  <c r="C128"/>
  <c r="E128"/>
  <c r="F128"/>
  <c r="A129"/>
  <c r="B129"/>
  <c r="C129"/>
  <c r="E129"/>
  <c r="F129"/>
  <c r="A130"/>
  <c r="B130"/>
  <c r="C130"/>
  <c r="E130"/>
  <c r="F130"/>
  <c r="A131"/>
  <c r="B131"/>
  <c r="C131"/>
  <c r="E131"/>
  <c r="F131"/>
  <c r="A132"/>
  <c r="B132"/>
  <c r="C132"/>
  <c r="E132"/>
  <c r="F132"/>
  <c r="A133"/>
  <c r="B133"/>
  <c r="C133"/>
  <c r="E133"/>
  <c r="F133"/>
  <c r="A134"/>
  <c r="B134"/>
  <c r="C134"/>
  <c r="E134"/>
  <c r="F134"/>
  <c r="A135"/>
  <c r="B135"/>
  <c r="C135"/>
  <c r="E135"/>
  <c r="F135"/>
  <c r="A136"/>
  <c r="B136"/>
  <c r="C136"/>
  <c r="E136"/>
  <c r="F136"/>
  <c r="A137"/>
  <c r="B137"/>
  <c r="C137"/>
  <c r="E137"/>
  <c r="F137"/>
  <c r="A138"/>
  <c r="B138"/>
  <c r="C138"/>
  <c r="E138"/>
  <c r="F138"/>
  <c r="A139"/>
  <c r="B139"/>
  <c r="C139"/>
  <c r="E139"/>
  <c r="F139"/>
  <c r="A140"/>
  <c r="B140"/>
  <c r="C140"/>
  <c r="E140"/>
  <c r="F140"/>
  <c r="A141"/>
  <c r="B141"/>
  <c r="C141"/>
  <c r="E141"/>
  <c r="F141"/>
  <c r="A142"/>
  <c r="B142"/>
  <c r="C142"/>
  <c r="E142"/>
  <c r="F142"/>
  <c r="A143"/>
  <c r="B143"/>
  <c r="C143"/>
  <c r="E143"/>
  <c r="F143"/>
  <c r="A144"/>
  <c r="B144"/>
  <c r="C144"/>
  <c r="E144"/>
  <c r="F144"/>
  <c r="A145"/>
  <c r="B145"/>
  <c r="C145"/>
  <c r="E145"/>
  <c r="F145"/>
  <c r="A146"/>
  <c r="B146"/>
  <c r="C146"/>
  <c r="E146"/>
  <c r="F146"/>
  <c r="A147"/>
  <c r="B147"/>
  <c r="C147"/>
  <c r="E147"/>
  <c r="F147"/>
  <c r="A148"/>
  <c r="B148"/>
  <c r="C148"/>
  <c r="E148"/>
  <c r="F148"/>
  <c r="A149"/>
  <c r="B149"/>
  <c r="C149"/>
  <c r="E149"/>
  <c r="F149"/>
  <c r="A150"/>
  <c r="B150"/>
  <c r="C150"/>
  <c r="E150"/>
  <c r="F150"/>
  <c r="A151"/>
  <c r="B151"/>
  <c r="C151"/>
  <c r="E151"/>
  <c r="F151"/>
  <c r="A152"/>
  <c r="B152"/>
  <c r="C152"/>
  <c r="E152"/>
  <c r="F152"/>
  <c r="A153"/>
  <c r="B153"/>
  <c r="C153"/>
  <c r="E153"/>
  <c r="F153"/>
  <c r="A154"/>
  <c r="B154"/>
  <c r="C154"/>
  <c r="E154"/>
  <c r="F154"/>
  <c r="A155"/>
  <c r="B155"/>
  <c r="C155"/>
  <c r="E155"/>
  <c r="F155"/>
  <c r="A156"/>
  <c r="B156"/>
  <c r="C156"/>
  <c r="E156"/>
  <c r="F156"/>
  <c r="A157"/>
  <c r="B157"/>
  <c r="C157"/>
  <c r="E157"/>
  <c r="F157"/>
  <c r="A158"/>
  <c r="B158"/>
  <c r="C158"/>
  <c r="E158"/>
  <c r="F158"/>
  <c r="A159"/>
  <c r="B159"/>
  <c r="C159"/>
  <c r="E159"/>
  <c r="F159"/>
  <c r="A160"/>
  <c r="B160"/>
  <c r="C160"/>
  <c r="E160"/>
  <c r="F160"/>
  <c r="A161"/>
  <c r="B161"/>
  <c r="C161"/>
  <c r="E161"/>
  <c r="F161"/>
  <c r="A162"/>
  <c r="B162"/>
  <c r="C162"/>
  <c r="E162"/>
  <c r="F162"/>
  <c r="A163"/>
  <c r="B163"/>
  <c r="C163"/>
  <c r="E163"/>
  <c r="F163"/>
  <c r="A164"/>
  <c r="B164"/>
  <c r="C164"/>
  <c r="E164"/>
  <c r="F164"/>
  <c r="A165"/>
  <c r="B165"/>
  <c r="C165"/>
  <c r="E165"/>
  <c r="F165"/>
  <c r="A166"/>
  <c r="B166"/>
  <c r="C166"/>
  <c r="E166"/>
  <c r="F166"/>
  <c r="A167"/>
  <c r="B167"/>
  <c r="C167"/>
  <c r="E167"/>
  <c r="F167"/>
  <c r="A168"/>
  <c r="B168"/>
  <c r="C168"/>
  <c r="E168"/>
  <c r="F168"/>
  <c r="A169"/>
  <c r="B169"/>
  <c r="C169"/>
  <c r="E169"/>
  <c r="F169"/>
  <c r="A170"/>
  <c r="B170"/>
  <c r="C170"/>
  <c r="E170"/>
  <c r="F170"/>
  <c r="A171"/>
  <c r="B171"/>
  <c r="C171"/>
  <c r="E171"/>
  <c r="F171"/>
  <c r="A172"/>
  <c r="B172"/>
  <c r="C172"/>
  <c r="E172"/>
  <c r="F172"/>
  <c r="A173"/>
  <c r="B173"/>
  <c r="C173"/>
  <c r="E173"/>
  <c r="F173"/>
  <c r="A174"/>
  <c r="B174"/>
  <c r="C174"/>
  <c r="E174"/>
  <c r="F174"/>
  <c r="A175"/>
  <c r="B175"/>
  <c r="C175"/>
  <c r="E175"/>
  <c r="F175"/>
  <c r="A176"/>
  <c r="B176"/>
  <c r="C176"/>
  <c r="E176"/>
  <c r="F176"/>
  <c r="A177"/>
  <c r="B177"/>
  <c r="C177"/>
  <c r="E177"/>
  <c r="F177"/>
  <c r="A178"/>
  <c r="B178"/>
  <c r="C178"/>
  <c r="E178"/>
  <c r="F178"/>
  <c r="A179"/>
  <c r="B179"/>
  <c r="C179"/>
  <c r="E179"/>
  <c r="F179"/>
  <c r="A180"/>
  <c r="B180"/>
  <c r="C180"/>
  <c r="E180"/>
  <c r="F180"/>
  <c r="A181"/>
  <c r="B181"/>
  <c r="C181"/>
  <c r="E181"/>
  <c r="F181"/>
  <c r="A182"/>
  <c r="B182"/>
  <c r="C182"/>
  <c r="E182"/>
  <c r="F182"/>
  <c r="A183"/>
  <c r="B183"/>
  <c r="C183"/>
  <c r="E183"/>
  <c r="F183"/>
  <c r="A184"/>
  <c r="B184"/>
  <c r="C184"/>
  <c r="E184"/>
  <c r="F184"/>
  <c r="A185"/>
  <c r="B185"/>
  <c r="C185"/>
  <c r="E185"/>
  <c r="F185"/>
  <c r="A186"/>
  <c r="B186"/>
  <c r="C186"/>
  <c r="E186"/>
  <c r="F186"/>
  <c r="A187"/>
  <c r="B187"/>
  <c r="C187"/>
  <c r="E187"/>
  <c r="F187"/>
  <c r="A188"/>
  <c r="B188"/>
  <c r="C188"/>
  <c r="E188"/>
  <c r="F188"/>
  <c r="A189"/>
  <c r="B189"/>
  <c r="C189"/>
  <c r="E189"/>
  <c r="F189"/>
  <c r="A190"/>
  <c r="B190"/>
  <c r="C190"/>
  <c r="E190"/>
  <c r="F190"/>
  <c r="A191"/>
  <c r="B191"/>
  <c r="C191"/>
  <c r="E191"/>
  <c r="F191"/>
  <c r="A192"/>
  <c r="B192"/>
  <c r="C192"/>
  <c r="E192"/>
  <c r="F192"/>
  <c r="A193"/>
  <c r="B193"/>
  <c r="C193"/>
  <c r="E193"/>
  <c r="F193"/>
  <c r="A194"/>
  <c r="B194"/>
  <c r="C194"/>
  <c r="E194"/>
  <c r="F194"/>
  <c r="A195"/>
  <c r="B195"/>
  <c r="C195"/>
  <c r="E195"/>
  <c r="F195"/>
  <c r="A196"/>
  <c r="B196"/>
  <c r="C196"/>
  <c r="E196"/>
  <c r="F196"/>
  <c r="A197"/>
  <c r="B197"/>
  <c r="C197"/>
  <c r="E197"/>
  <c r="F197"/>
  <c r="A198"/>
  <c r="B198"/>
  <c r="C198"/>
  <c r="E198"/>
  <c r="F198"/>
  <c r="A199"/>
  <c r="B199"/>
  <c r="C199"/>
  <c r="E199"/>
  <c r="F199"/>
  <c r="A200"/>
  <c r="B200"/>
  <c r="C200"/>
  <c r="E200"/>
  <c r="F200"/>
  <c r="A201"/>
  <c r="B201"/>
  <c r="C201"/>
  <c r="E201"/>
  <c r="F201"/>
  <c r="A202"/>
  <c r="B202"/>
  <c r="C202"/>
  <c r="E202"/>
  <c r="F202"/>
  <c r="A203"/>
  <c r="B203"/>
  <c r="C203"/>
  <c r="E203"/>
  <c r="F203"/>
  <c r="A204"/>
  <c r="B204"/>
  <c r="C204"/>
  <c r="E204"/>
  <c r="F204"/>
  <c r="A205"/>
  <c r="B205"/>
  <c r="C205"/>
  <c r="E205"/>
  <c r="F205"/>
  <c r="A206"/>
  <c r="B206"/>
  <c r="C206"/>
  <c r="E206"/>
  <c r="F206"/>
  <c r="A207"/>
  <c r="B207"/>
  <c r="C207"/>
  <c r="E207"/>
  <c r="F207"/>
  <c r="A208"/>
  <c r="B208"/>
  <c r="C208"/>
  <c r="E208"/>
  <c r="F208"/>
  <c r="A209"/>
  <c r="B209"/>
  <c r="C209"/>
  <c r="E209"/>
  <c r="F209"/>
  <c r="A210"/>
  <c r="B210"/>
  <c r="C210"/>
  <c r="E210"/>
  <c r="F210"/>
  <c r="A211"/>
  <c r="B211"/>
  <c r="C211"/>
  <c r="E211"/>
  <c r="F211"/>
  <c r="A212"/>
  <c r="B212"/>
  <c r="C212"/>
  <c r="E212"/>
  <c r="F212"/>
  <c r="A213"/>
  <c r="B213"/>
  <c r="C213"/>
  <c r="E213"/>
  <c r="F213"/>
  <c r="A214"/>
  <c r="B214"/>
  <c r="C214"/>
  <c r="E214"/>
  <c r="F214"/>
  <c r="A215"/>
  <c r="B215"/>
  <c r="C215"/>
  <c r="E215"/>
  <c r="F215"/>
  <c r="A216"/>
  <c r="B216"/>
  <c r="C216"/>
  <c r="E216"/>
  <c r="F216"/>
  <c r="A217"/>
  <c r="B217"/>
  <c r="C217"/>
  <c r="E217"/>
  <c r="F217"/>
  <c r="A218"/>
  <c r="B218"/>
  <c r="C218"/>
  <c r="E218"/>
  <c r="F218"/>
  <c r="A219"/>
  <c r="B219"/>
  <c r="C219"/>
  <c r="E219"/>
  <c r="F219"/>
  <c r="A220"/>
  <c r="B220"/>
  <c r="C220"/>
  <c r="E220"/>
  <c r="F220"/>
  <c r="A221"/>
  <c r="B221"/>
  <c r="C221"/>
  <c r="E221"/>
  <c r="F221"/>
  <c r="A222"/>
  <c r="B222"/>
  <c r="C222"/>
  <c r="E222"/>
  <c r="F222"/>
  <c r="A223"/>
  <c r="B223"/>
  <c r="C223"/>
  <c r="E223"/>
  <c r="F223"/>
  <c r="A224"/>
  <c r="B224"/>
  <c r="C224"/>
  <c r="E224"/>
  <c r="F224"/>
  <c r="A225"/>
  <c r="B225"/>
  <c r="C225"/>
  <c r="E225"/>
  <c r="F225"/>
  <c r="A226"/>
  <c r="B226"/>
  <c r="C226"/>
  <c r="E226"/>
  <c r="F226"/>
  <c r="A227"/>
  <c r="B227"/>
  <c r="C227"/>
  <c r="E227"/>
  <c r="F227"/>
  <c r="A228"/>
  <c r="B228"/>
  <c r="C228"/>
  <c r="E228"/>
  <c r="F228"/>
  <c r="A229"/>
  <c r="B229"/>
  <c r="C229"/>
  <c r="E229"/>
  <c r="F229"/>
  <c r="A230"/>
  <c r="B230"/>
  <c r="C230"/>
  <c r="E230"/>
  <c r="F230"/>
  <c r="A231"/>
  <c r="B231"/>
  <c r="C231"/>
  <c r="E231"/>
  <c r="F231"/>
  <c r="A232"/>
  <c r="B232"/>
  <c r="C232"/>
  <c r="E232"/>
  <c r="F232"/>
  <c r="A233"/>
  <c r="B233"/>
  <c r="C233"/>
  <c r="E233"/>
  <c r="F233"/>
  <c r="A234"/>
  <c r="B234"/>
  <c r="C234"/>
  <c r="E234"/>
  <c r="F234"/>
  <c r="A235"/>
  <c r="B235"/>
  <c r="C235"/>
  <c r="E235"/>
  <c r="F235"/>
  <c r="A236"/>
  <c r="B236"/>
  <c r="C236"/>
  <c r="E236"/>
  <c r="F236"/>
  <c r="A237"/>
  <c r="B237"/>
  <c r="C237"/>
  <c r="E237"/>
  <c r="F237"/>
  <c r="A238"/>
  <c r="B238"/>
  <c r="C238"/>
  <c r="E238"/>
  <c r="F238"/>
  <c r="A239"/>
  <c r="B239"/>
  <c r="C239"/>
  <c r="E239"/>
  <c r="F239"/>
  <c r="A240"/>
  <c r="B240"/>
  <c r="C240"/>
  <c r="E240"/>
  <c r="F240"/>
  <c r="A241"/>
  <c r="B241"/>
  <c r="C241"/>
  <c r="E241"/>
  <c r="F241"/>
  <c r="A242"/>
  <c r="B242"/>
  <c r="C242"/>
  <c r="E242"/>
  <c r="F242"/>
  <c r="A243"/>
  <c r="B243"/>
  <c r="C243"/>
  <c r="E243"/>
  <c r="F243"/>
  <c r="A244"/>
  <c r="B244"/>
  <c r="C244"/>
  <c r="E244"/>
  <c r="F244"/>
  <c r="A245"/>
  <c r="B245"/>
  <c r="C245"/>
  <c r="E245"/>
  <c r="F245"/>
  <c r="A246"/>
  <c r="B246"/>
  <c r="C246"/>
  <c r="E246"/>
  <c r="F246"/>
  <c r="A247"/>
  <c r="B247"/>
  <c r="C247"/>
  <c r="E247"/>
  <c r="F247"/>
  <c r="A248"/>
  <c r="B248"/>
  <c r="C248"/>
  <c r="E248"/>
  <c r="F248"/>
  <c r="A249"/>
  <c r="B249"/>
  <c r="C249"/>
  <c r="E249"/>
  <c r="F249"/>
  <c r="A250"/>
  <c r="B250"/>
  <c r="C250"/>
  <c r="E250"/>
  <c r="F250"/>
  <c r="A251"/>
  <c r="B251"/>
  <c r="C251"/>
  <c r="E251"/>
  <c r="F251"/>
  <c r="A252"/>
  <c r="B252"/>
  <c r="C252"/>
  <c r="E252"/>
  <c r="F252"/>
  <c r="A253"/>
  <c r="B253"/>
  <c r="C253"/>
  <c r="E253"/>
  <c r="F253"/>
  <c r="A254"/>
  <c r="B254"/>
  <c r="C254"/>
  <c r="E254"/>
  <c r="F254"/>
  <c r="A255"/>
  <c r="B255"/>
  <c r="C255"/>
  <c r="E255"/>
  <c r="F255"/>
  <c r="A256"/>
  <c r="B256"/>
  <c r="C256"/>
  <c r="E256"/>
  <c r="F256"/>
  <c r="A257"/>
  <c r="B257"/>
  <c r="C257"/>
  <c r="E257"/>
  <c r="F257"/>
  <c r="A258"/>
  <c r="B258"/>
  <c r="C258"/>
  <c r="E258"/>
  <c r="F258"/>
  <c r="A259"/>
  <c r="B259"/>
  <c r="C259"/>
  <c r="E259"/>
  <c r="F259"/>
  <c r="A260"/>
  <c r="B260"/>
  <c r="C260"/>
  <c r="E260"/>
  <c r="F260"/>
  <c r="A261"/>
  <c r="B261"/>
  <c r="C261"/>
  <c r="E261"/>
  <c r="F261"/>
  <c r="A262"/>
  <c r="B262"/>
  <c r="C262"/>
  <c r="E262"/>
  <c r="F262"/>
  <c r="A263"/>
  <c r="B263"/>
  <c r="C263"/>
  <c r="E263"/>
  <c r="F263"/>
  <c r="A264"/>
  <c r="B264"/>
  <c r="C264"/>
  <c r="E264"/>
  <c r="F264"/>
  <c r="A265"/>
  <c r="B265"/>
  <c r="C265"/>
  <c r="E265"/>
  <c r="F265"/>
  <c r="A266"/>
  <c r="B266"/>
  <c r="C266"/>
  <c r="E266"/>
  <c r="F266"/>
  <c r="A267"/>
  <c r="B267"/>
  <c r="C267"/>
  <c r="E267"/>
  <c r="F267"/>
  <c r="A268"/>
  <c r="B268"/>
  <c r="C268"/>
  <c r="E268"/>
  <c r="F268"/>
  <c r="A269"/>
  <c r="B269"/>
  <c r="C269"/>
  <c r="E269"/>
  <c r="F269"/>
  <c r="A270"/>
  <c r="B270"/>
  <c r="C270"/>
  <c r="E270"/>
  <c r="F270"/>
  <c r="A271"/>
  <c r="B271"/>
  <c r="C271"/>
  <c r="E271"/>
  <c r="F271"/>
  <c r="A272"/>
  <c r="B272"/>
  <c r="C272"/>
  <c r="E272"/>
  <c r="F272"/>
  <c r="A273"/>
  <c r="B273"/>
  <c r="C273"/>
  <c r="E273"/>
  <c r="F273"/>
  <c r="A274"/>
  <c r="B274"/>
  <c r="C274"/>
  <c r="E274"/>
  <c r="F274"/>
  <c r="A275"/>
  <c r="B275"/>
  <c r="C275"/>
  <c r="E275"/>
  <c r="F275"/>
  <c r="A276"/>
  <c r="B276"/>
  <c r="C276"/>
  <c r="E276"/>
  <c r="F276"/>
  <c r="A277"/>
  <c r="B277"/>
  <c r="C277"/>
  <c r="E277"/>
  <c r="F277"/>
  <c r="A278"/>
  <c r="B278"/>
  <c r="C278"/>
  <c r="E278"/>
  <c r="F278"/>
  <c r="A279"/>
  <c r="B279"/>
  <c r="C279"/>
  <c r="E279"/>
  <c r="F279"/>
  <c r="A280"/>
  <c r="B280"/>
  <c r="C280"/>
  <c r="E280"/>
  <c r="F280"/>
  <c r="A281"/>
  <c r="B281"/>
  <c r="C281"/>
  <c r="E281"/>
  <c r="F281"/>
  <c r="A282"/>
  <c r="B282"/>
  <c r="C282"/>
  <c r="E282"/>
  <c r="F282"/>
  <c r="A283"/>
  <c r="B283"/>
  <c r="C283"/>
  <c r="E283"/>
  <c r="F283"/>
  <c r="A284"/>
  <c r="B284"/>
  <c r="C284"/>
  <c r="E284"/>
  <c r="F284"/>
  <c r="A285"/>
  <c r="B285"/>
  <c r="C285"/>
  <c r="E285"/>
  <c r="F285"/>
  <c r="A286"/>
  <c r="B286"/>
  <c r="C286"/>
  <c r="E286"/>
  <c r="F286"/>
  <c r="A287"/>
  <c r="B287"/>
  <c r="C287"/>
  <c r="E287"/>
  <c r="F287"/>
  <c r="A288"/>
  <c r="B288"/>
  <c r="C288"/>
  <c r="E288"/>
  <c r="F288"/>
  <c r="A289"/>
  <c r="B289"/>
  <c r="C289"/>
  <c r="E289"/>
  <c r="F289"/>
  <c r="A290"/>
  <c r="B290"/>
  <c r="C290"/>
  <c r="E290"/>
  <c r="F290"/>
  <c r="A291"/>
  <c r="B291"/>
  <c r="C291"/>
  <c r="E291"/>
  <c r="F291"/>
  <c r="A292"/>
  <c r="B292"/>
  <c r="C292"/>
  <c r="E292"/>
  <c r="F292"/>
  <c r="A293"/>
  <c r="B293"/>
  <c r="C293"/>
  <c r="E293"/>
  <c r="F293"/>
  <c r="A294"/>
  <c r="B294"/>
  <c r="C294"/>
  <c r="E294"/>
  <c r="F294"/>
  <c r="A295"/>
  <c r="B295"/>
  <c r="C295"/>
  <c r="E295"/>
  <c r="F295"/>
  <c r="A296"/>
  <c r="B296"/>
  <c r="C296"/>
  <c r="E296"/>
  <c r="F296"/>
  <c r="A297"/>
  <c r="B297"/>
  <c r="C297"/>
  <c r="E297"/>
  <c r="F297"/>
  <c r="A298"/>
  <c r="B298"/>
  <c r="C298"/>
  <c r="E298"/>
  <c r="F298"/>
  <c r="A299"/>
  <c r="B299"/>
  <c r="C299"/>
  <c r="E299"/>
  <c r="F299"/>
  <c r="A300"/>
  <c r="B300"/>
  <c r="C300"/>
  <c r="E300"/>
  <c r="F300"/>
  <c r="A301"/>
  <c r="B301"/>
  <c r="C301"/>
  <c r="E301"/>
  <c r="F301"/>
  <c r="A302"/>
  <c r="B302"/>
  <c r="C302"/>
  <c r="E302"/>
  <c r="F302"/>
  <c r="A303"/>
  <c r="B303"/>
  <c r="C303"/>
  <c r="E303"/>
  <c r="F303"/>
  <c r="A304"/>
  <c r="B304"/>
  <c r="C304"/>
  <c r="E304"/>
  <c r="F304"/>
  <c r="A305"/>
  <c r="B305"/>
  <c r="C305"/>
  <c r="E305"/>
  <c r="F305"/>
  <c r="A306"/>
  <c r="B306"/>
  <c r="C306"/>
  <c r="E306"/>
  <c r="F306"/>
  <c r="A307"/>
  <c r="B307"/>
  <c r="C307"/>
  <c r="E307"/>
  <c r="F307"/>
  <c r="A308"/>
  <c r="B308"/>
  <c r="C308"/>
  <c r="E308"/>
  <c r="F308"/>
  <c r="A309"/>
  <c r="B309"/>
  <c r="C309"/>
  <c r="E309"/>
  <c r="F309"/>
  <c r="A310"/>
  <c r="B310"/>
  <c r="C310"/>
  <c r="E310"/>
  <c r="F310"/>
  <c r="A311"/>
  <c r="B311"/>
  <c r="C311"/>
  <c r="E311"/>
  <c r="F311"/>
  <c r="A312"/>
  <c r="B312"/>
  <c r="C312"/>
  <c r="E312"/>
  <c r="F312"/>
  <c r="A313"/>
  <c r="B313"/>
  <c r="C313"/>
  <c r="E313"/>
  <c r="F313"/>
  <c r="A314"/>
  <c r="B314"/>
  <c r="C314"/>
  <c r="E314"/>
  <c r="F314"/>
  <c r="A315"/>
  <c r="B315"/>
  <c r="C315"/>
  <c r="E315"/>
  <c r="F315"/>
  <c r="A316"/>
  <c r="B316"/>
  <c r="C316"/>
  <c r="E316"/>
  <c r="F316"/>
  <c r="A317"/>
  <c r="B317"/>
  <c r="C317"/>
  <c r="E317"/>
  <c r="F317"/>
  <c r="A318"/>
  <c r="B318"/>
  <c r="C318"/>
  <c r="E318"/>
  <c r="F318"/>
  <c r="A319"/>
  <c r="B319"/>
  <c r="C319"/>
  <c r="E319"/>
  <c r="F319"/>
  <c r="A320"/>
  <c r="B320"/>
  <c r="C320"/>
  <c r="E320"/>
  <c r="F320"/>
  <c r="A321"/>
  <c r="B321"/>
  <c r="C321"/>
  <c r="E321"/>
  <c r="F321"/>
  <c r="A322"/>
  <c r="B322"/>
  <c r="C322"/>
  <c r="E322"/>
  <c r="F322"/>
  <c r="A323"/>
  <c r="B323"/>
  <c r="C323"/>
  <c r="E323"/>
  <c r="F323"/>
  <c r="A324"/>
  <c r="B324"/>
  <c r="C324"/>
  <c r="E324"/>
  <c r="F324"/>
  <c r="A325"/>
  <c r="B325"/>
  <c r="C325"/>
  <c r="E325"/>
  <c r="F325"/>
  <c r="A326"/>
  <c r="B326"/>
  <c r="C326"/>
  <c r="E326"/>
  <c r="F326"/>
  <c r="A327"/>
  <c r="B327"/>
  <c r="C327"/>
  <c r="E327"/>
  <c r="F327"/>
  <c r="A328"/>
  <c r="B328"/>
  <c r="C328"/>
  <c r="E328"/>
  <c r="F328"/>
  <c r="A329"/>
  <c r="B329"/>
  <c r="C329"/>
  <c r="E329"/>
  <c r="F329"/>
  <c r="A330"/>
  <c r="B330"/>
  <c r="C330"/>
  <c r="E330"/>
  <c r="F330"/>
  <c r="A331"/>
  <c r="B331"/>
  <c r="C331"/>
  <c r="E331"/>
  <c r="F331"/>
  <c r="A332"/>
  <c r="B332"/>
  <c r="C332"/>
  <c r="E332"/>
  <c r="F332"/>
  <c r="A333"/>
  <c r="B333"/>
  <c r="C333"/>
  <c r="E333"/>
  <c r="F333"/>
  <c r="A334"/>
  <c r="B334"/>
  <c r="C334"/>
  <c r="E334"/>
  <c r="F334"/>
  <c r="A335"/>
  <c r="B335"/>
  <c r="C335"/>
  <c r="E335"/>
  <c r="F335"/>
  <c r="A336"/>
  <c r="B336"/>
  <c r="C336"/>
  <c r="E336"/>
  <c r="F336"/>
  <c r="A337"/>
  <c r="B337"/>
  <c r="C337"/>
  <c r="E337"/>
  <c r="F337"/>
  <c r="A338"/>
  <c r="B338"/>
  <c r="C338"/>
  <c r="E338"/>
  <c r="F338"/>
  <c r="A339"/>
  <c r="B339"/>
  <c r="C339"/>
  <c r="E339"/>
  <c r="F339"/>
  <c r="A340"/>
  <c r="B340"/>
  <c r="C340"/>
  <c r="E340"/>
  <c r="F340"/>
  <c r="A341"/>
  <c r="B341"/>
  <c r="C341"/>
  <c r="E341"/>
  <c r="F341"/>
  <c r="A342"/>
  <c r="B342"/>
  <c r="C342"/>
  <c r="E342"/>
  <c r="F342"/>
  <c r="A343"/>
  <c r="B343"/>
  <c r="C343"/>
  <c r="E343"/>
  <c r="F343"/>
  <c r="A344"/>
  <c r="B344"/>
  <c r="C344"/>
  <c r="E344"/>
  <c r="F344"/>
  <c r="A345"/>
  <c r="B345"/>
  <c r="C345"/>
  <c r="E345"/>
  <c r="F345"/>
  <c r="A346"/>
  <c r="B346"/>
  <c r="C346"/>
  <c r="E346"/>
  <c r="F346"/>
  <c r="A347"/>
  <c r="B347"/>
  <c r="C347"/>
  <c r="E347"/>
  <c r="F347"/>
  <c r="A348"/>
  <c r="B348"/>
  <c r="C348"/>
  <c r="E348"/>
  <c r="F348"/>
  <c r="A349"/>
  <c r="B349"/>
  <c r="C349"/>
  <c r="E349"/>
  <c r="F349"/>
  <c r="A350"/>
  <c r="B350"/>
  <c r="C350"/>
  <c r="E350"/>
  <c r="F350"/>
  <c r="A351"/>
  <c r="B351"/>
  <c r="C351"/>
  <c r="E351"/>
  <c r="F351"/>
  <c r="A352"/>
  <c r="B352"/>
  <c r="C352"/>
  <c r="E352"/>
  <c r="F352"/>
  <c r="A353"/>
  <c r="B353"/>
  <c r="C353"/>
  <c r="E353"/>
  <c r="F353"/>
  <c r="A354"/>
  <c r="B354"/>
  <c r="C354"/>
  <c r="E354"/>
  <c r="F354"/>
  <c r="A355"/>
  <c r="B355"/>
  <c r="C355"/>
  <c r="E355"/>
  <c r="F355"/>
  <c r="A356"/>
  <c r="B356"/>
  <c r="C356"/>
  <c r="E356"/>
  <c r="F356"/>
  <c r="A357"/>
  <c r="B357"/>
  <c r="C357"/>
  <c r="E357"/>
  <c r="F357"/>
  <c r="A358"/>
  <c r="B358"/>
  <c r="C358"/>
  <c r="E358"/>
  <c r="F358"/>
  <c r="A359"/>
  <c r="B359"/>
  <c r="C359"/>
  <c r="E359"/>
  <c r="F359"/>
  <c r="A360"/>
  <c r="B360"/>
  <c r="C360"/>
  <c r="E360"/>
  <c r="F360"/>
  <c r="A361"/>
  <c r="B361"/>
  <c r="C361"/>
  <c r="E361"/>
  <c r="F361"/>
  <c r="A362"/>
  <c r="B362"/>
  <c r="C362"/>
  <c r="E362"/>
  <c r="F362"/>
  <c r="A363"/>
  <c r="B363"/>
  <c r="C363"/>
  <c r="E363"/>
  <c r="F363"/>
  <c r="A364"/>
  <c r="B364"/>
  <c r="C364"/>
  <c r="E364"/>
  <c r="F364"/>
  <c r="A365"/>
  <c r="B365"/>
  <c r="C365"/>
  <c r="E365"/>
  <c r="F365"/>
  <c r="A1" i="2"/>
  <c r="B1"/>
  <c r="C1"/>
  <c r="D1"/>
  <c r="E1"/>
  <c r="F1"/>
  <c r="G1"/>
  <c r="A2"/>
  <c r="B2"/>
  <c r="C2"/>
  <c r="D2"/>
  <c r="F2"/>
  <c r="G2"/>
  <c r="A3"/>
  <c r="B3"/>
  <c r="C3"/>
  <c r="D3"/>
  <c r="F3"/>
  <c r="G3"/>
  <c r="A4"/>
  <c r="B4"/>
  <c r="C4"/>
  <c r="D4"/>
  <c r="F4"/>
  <c r="G4"/>
  <c r="A5"/>
  <c r="B5"/>
  <c r="C5"/>
  <c r="D5"/>
  <c r="F5"/>
  <c r="G5"/>
  <c r="A6"/>
  <c r="B6"/>
  <c r="C6"/>
  <c r="D6"/>
  <c r="F6"/>
  <c r="G6"/>
  <c r="A7"/>
  <c r="B7"/>
  <c r="C7"/>
  <c r="D7"/>
  <c r="F7"/>
  <c r="G7"/>
  <c r="A8"/>
  <c r="B8"/>
  <c r="C8"/>
  <c r="D8"/>
  <c r="F8"/>
  <c r="G8"/>
  <c r="A9"/>
  <c r="B9"/>
  <c r="C9"/>
  <c r="D9"/>
  <c r="F9"/>
  <c r="G9"/>
  <c r="A10"/>
  <c r="B10"/>
  <c r="C10"/>
  <c r="D10"/>
  <c r="F10"/>
  <c r="G10"/>
  <c r="A11"/>
  <c r="B11"/>
  <c r="C11"/>
  <c r="D11"/>
  <c r="F11"/>
  <c r="G11"/>
  <c r="A12"/>
  <c r="B12"/>
  <c r="C12"/>
  <c r="D12"/>
  <c r="F12"/>
  <c r="G12"/>
  <c r="A13"/>
  <c r="B13"/>
  <c r="C13"/>
  <c r="D13"/>
  <c r="F13"/>
  <c r="G13"/>
  <c r="A14"/>
  <c r="B14"/>
  <c r="C14"/>
  <c r="D14"/>
  <c r="F14"/>
  <c r="G14"/>
  <c r="A15"/>
  <c r="B15"/>
  <c r="C15"/>
  <c r="D15"/>
  <c r="F15"/>
  <c r="G15"/>
  <c r="A16"/>
  <c r="B16"/>
  <c r="C16"/>
  <c r="D16"/>
  <c r="F16"/>
  <c r="G16"/>
  <c r="A17"/>
  <c r="B17"/>
  <c r="C17"/>
  <c r="D17"/>
  <c r="F17"/>
  <c r="G17"/>
  <c r="A18"/>
  <c r="B18"/>
  <c r="C18"/>
  <c r="D18"/>
  <c r="F18"/>
  <c r="G18"/>
  <c r="A19"/>
  <c r="B19"/>
  <c r="C19"/>
  <c r="D19"/>
  <c r="F19"/>
  <c r="G19"/>
  <c r="A20"/>
  <c r="B20"/>
  <c r="C20"/>
  <c r="D20"/>
  <c r="F20"/>
  <c r="G20"/>
  <c r="A21"/>
  <c r="B21"/>
  <c r="C21"/>
  <c r="D21"/>
  <c r="F21"/>
  <c r="G21"/>
  <c r="A22"/>
  <c r="B22"/>
  <c r="C22"/>
  <c r="D22"/>
  <c r="F22"/>
  <c r="G22"/>
  <c r="A23"/>
  <c r="B23"/>
  <c r="C23"/>
  <c r="D23"/>
  <c r="F23"/>
  <c r="G23"/>
  <c r="A24"/>
  <c r="B24"/>
  <c r="C24"/>
  <c r="D24"/>
  <c r="F24"/>
  <c r="G24"/>
  <c r="A25"/>
  <c r="B25"/>
  <c r="C25"/>
  <c r="D25"/>
  <c r="F25"/>
  <c r="G25"/>
  <c r="A26"/>
  <c r="B26"/>
  <c r="C26"/>
  <c r="D26"/>
  <c r="F26"/>
  <c r="G26"/>
  <c r="A27"/>
  <c r="B27"/>
  <c r="C27"/>
  <c r="D27"/>
  <c r="F27"/>
  <c r="G27"/>
  <c r="A28"/>
  <c r="B28"/>
  <c r="C28"/>
  <c r="D28"/>
  <c r="F28"/>
  <c r="G28"/>
  <c r="A29"/>
  <c r="B29"/>
  <c r="C29"/>
  <c r="D29"/>
  <c r="F29"/>
  <c r="G29"/>
  <c r="A30"/>
  <c r="B30"/>
  <c r="C30"/>
  <c r="D30"/>
  <c r="F30"/>
  <c r="G30"/>
  <c r="A31"/>
  <c r="B31"/>
  <c r="C31"/>
  <c r="D31"/>
  <c r="F31"/>
  <c r="G31"/>
  <c r="A32"/>
  <c r="B32"/>
  <c r="C32"/>
  <c r="D32"/>
  <c r="F32"/>
  <c r="G32"/>
  <c r="A33"/>
  <c r="B33"/>
  <c r="C33"/>
  <c r="D33"/>
  <c r="F33"/>
  <c r="G33"/>
  <c r="A34"/>
  <c r="B34"/>
  <c r="C34"/>
  <c r="D34"/>
  <c r="F34"/>
  <c r="G34"/>
  <c r="A35"/>
  <c r="B35"/>
  <c r="C35"/>
  <c r="D35"/>
  <c r="F35"/>
  <c r="G35"/>
  <c r="A36"/>
  <c r="B36"/>
  <c r="C36"/>
  <c r="D36"/>
  <c r="F36"/>
  <c r="G36"/>
  <c r="A37"/>
  <c r="B37"/>
  <c r="C37"/>
  <c r="D37"/>
  <c r="F37"/>
  <c r="G37"/>
  <c r="A38"/>
  <c r="B38"/>
  <c r="C38"/>
  <c r="D38"/>
  <c r="F38"/>
  <c r="G38"/>
  <c r="A39"/>
  <c r="B39"/>
  <c r="C39"/>
  <c r="D39"/>
  <c r="F39"/>
  <c r="G39"/>
  <c r="A40"/>
  <c r="B40"/>
  <c r="C40"/>
  <c r="D40"/>
  <c r="F40"/>
  <c r="G40"/>
  <c r="A41"/>
  <c r="B41"/>
  <c r="C41"/>
  <c r="D41"/>
  <c r="F41"/>
  <c r="G41"/>
  <c r="A1" i="3"/>
  <c r="B1"/>
  <c r="C1"/>
  <c r="D1"/>
  <c r="E1"/>
  <c r="F1"/>
  <c r="A2"/>
  <c r="B2"/>
  <c r="C2"/>
  <c r="E2"/>
  <c r="F2"/>
  <c r="A3"/>
  <c r="B3"/>
  <c r="C3"/>
  <c r="E3"/>
  <c r="F3"/>
  <c r="A4"/>
  <c r="B4"/>
  <c r="C4"/>
  <c r="E4"/>
  <c r="F4"/>
  <c r="A5"/>
  <c r="B5"/>
  <c r="C5"/>
  <c r="E5"/>
  <c r="F5"/>
  <c r="A6"/>
  <c r="B6"/>
  <c r="C6"/>
  <c r="E6"/>
  <c r="F6"/>
  <c r="A7"/>
  <c r="B7"/>
  <c r="C7"/>
  <c r="E7"/>
  <c r="F7"/>
  <c r="A8"/>
  <c r="B8"/>
  <c r="C8"/>
  <c r="E8"/>
  <c r="F8"/>
  <c r="A9"/>
  <c r="B9"/>
  <c r="C9"/>
  <c r="E9"/>
  <c r="F9"/>
  <c r="A10"/>
  <c r="B10"/>
  <c r="C10"/>
  <c r="E10"/>
  <c r="F10"/>
  <c r="A11"/>
  <c r="B11"/>
  <c r="C11"/>
  <c r="E11"/>
  <c r="F11"/>
  <c r="A12"/>
  <c r="B12"/>
  <c r="C12"/>
  <c r="E12"/>
  <c r="F12"/>
  <c r="A13"/>
  <c r="B13"/>
  <c r="C13"/>
  <c r="E13"/>
  <c r="F13"/>
  <c r="A14"/>
  <c r="B14"/>
  <c r="C14"/>
  <c r="E14"/>
  <c r="F14"/>
  <c r="A15"/>
  <c r="B15"/>
  <c r="C15"/>
  <c r="E15"/>
  <c r="F15"/>
  <c r="A16"/>
  <c r="B16"/>
  <c r="C16"/>
  <c r="E16"/>
  <c r="F16"/>
  <c r="A17"/>
  <c r="B17"/>
  <c r="C17"/>
  <c r="E17"/>
  <c r="F17"/>
  <c r="A18"/>
  <c r="B18"/>
  <c r="C18"/>
  <c r="E18"/>
  <c r="F18"/>
  <c r="A19"/>
  <c r="B19"/>
  <c r="C19"/>
  <c r="E19"/>
  <c r="F19"/>
  <c r="A20"/>
  <c r="B20"/>
  <c r="C20"/>
  <c r="E20"/>
  <c r="F20"/>
  <c r="A21"/>
  <c r="B21"/>
  <c r="C21"/>
  <c r="E21"/>
  <c r="F21"/>
  <c r="A22"/>
  <c r="B22"/>
  <c r="C22"/>
  <c r="E22"/>
  <c r="F22"/>
  <c r="A23"/>
  <c r="B23"/>
  <c r="C23"/>
  <c r="E23"/>
  <c r="F23"/>
  <c r="A24"/>
  <c r="B24"/>
  <c r="C24"/>
  <c r="E24"/>
  <c r="F24"/>
  <c r="A25"/>
  <c r="B25"/>
  <c r="C25"/>
  <c r="E25"/>
  <c r="F25"/>
  <c r="A26"/>
  <c r="B26"/>
  <c r="C26"/>
  <c r="E26"/>
  <c r="F26"/>
  <c r="A27"/>
  <c r="B27"/>
  <c r="C27"/>
  <c r="E27"/>
  <c r="F27"/>
  <c r="A28"/>
  <c r="B28"/>
  <c r="C28"/>
  <c r="E28"/>
  <c r="F28"/>
  <c r="A29"/>
  <c r="B29"/>
  <c r="C29"/>
  <c r="E29"/>
  <c r="F29"/>
  <c r="A30"/>
  <c r="B30"/>
  <c r="C30"/>
  <c r="E30"/>
  <c r="F30"/>
  <c r="A31"/>
  <c r="B31"/>
  <c r="C31"/>
  <c r="E31"/>
  <c r="F31"/>
  <c r="A32"/>
  <c r="B32"/>
  <c r="C32"/>
  <c r="E32"/>
  <c r="F32"/>
  <c r="A33"/>
  <c r="B33"/>
  <c r="C33"/>
  <c r="E33"/>
  <c r="F33"/>
  <c r="A34"/>
  <c r="B34"/>
  <c r="C34"/>
  <c r="E34"/>
  <c r="F34"/>
  <c r="A35"/>
  <c r="B35"/>
  <c r="C35"/>
  <c r="E35"/>
  <c r="F35"/>
  <c r="A36"/>
  <c r="B36"/>
  <c r="C36"/>
  <c r="E36"/>
  <c r="F36"/>
  <c r="A37"/>
  <c r="B37"/>
  <c r="C37"/>
  <c r="E37"/>
  <c r="F37"/>
  <c r="A38"/>
  <c r="B38"/>
  <c r="C38"/>
  <c r="E38"/>
  <c r="F38"/>
  <c r="A39"/>
  <c r="B39"/>
  <c r="C39"/>
  <c r="E39"/>
  <c r="F39"/>
  <c r="A40"/>
  <c r="B40"/>
  <c r="C40"/>
  <c r="E40"/>
  <c r="F40"/>
  <c r="A41"/>
  <c r="B41"/>
  <c r="C41"/>
  <c r="E41"/>
  <c r="F41"/>
  <c r="A42"/>
  <c r="B42"/>
  <c r="C42"/>
  <c r="E42"/>
  <c r="F42"/>
  <c r="A43"/>
  <c r="B43"/>
  <c r="C43"/>
  <c r="E43"/>
  <c r="F43"/>
  <c r="A44"/>
  <c r="B44"/>
  <c r="C44"/>
  <c r="E44"/>
  <c r="F44"/>
  <c r="A45"/>
  <c r="B45"/>
  <c r="C45"/>
  <c r="E45"/>
  <c r="F45"/>
  <c r="A46"/>
  <c r="B46"/>
  <c r="C46"/>
  <c r="E46"/>
  <c r="F46"/>
  <c r="A47"/>
  <c r="B47"/>
  <c r="C47"/>
  <c r="E47"/>
  <c r="F47"/>
  <c r="A48"/>
  <c r="B48"/>
  <c r="C48"/>
  <c r="E48"/>
  <c r="F48"/>
  <c r="A49"/>
  <c r="B49"/>
  <c r="C49"/>
  <c r="E49"/>
  <c r="F49"/>
  <c r="A50"/>
  <c r="B50"/>
  <c r="C50"/>
  <c r="E50"/>
  <c r="F50"/>
  <c r="A51"/>
  <c r="B51"/>
  <c r="C51"/>
  <c r="E51"/>
  <c r="F51"/>
  <c r="A52"/>
  <c r="B52"/>
  <c r="C52"/>
  <c r="E52"/>
  <c r="F52"/>
  <c r="A53"/>
  <c r="B53"/>
  <c r="C53"/>
  <c r="E53"/>
  <c r="F53"/>
  <c r="A54"/>
  <c r="B54"/>
  <c r="C54"/>
  <c r="E54"/>
  <c r="F54"/>
  <c r="A55"/>
  <c r="B55"/>
  <c r="C55"/>
  <c r="E55"/>
  <c r="F55"/>
  <c r="A56"/>
  <c r="B56"/>
  <c r="C56"/>
  <c r="E56"/>
  <c r="F56"/>
  <c r="A57"/>
  <c r="B57"/>
  <c r="C57"/>
  <c r="E57"/>
  <c r="F57"/>
  <c r="A58"/>
  <c r="B58"/>
  <c r="C58"/>
  <c r="E58"/>
  <c r="F58"/>
  <c r="A59"/>
  <c r="B59"/>
  <c r="C59"/>
  <c r="E59"/>
  <c r="F59"/>
  <c r="A60"/>
  <c r="B60"/>
  <c r="C60"/>
  <c r="E60"/>
  <c r="F60"/>
  <c r="A61"/>
  <c r="B61"/>
  <c r="C61"/>
  <c r="E61"/>
  <c r="F61"/>
  <c r="A62"/>
  <c r="B62"/>
  <c r="C62"/>
  <c r="E62"/>
  <c r="F62"/>
  <c r="A63"/>
  <c r="B63"/>
  <c r="C63"/>
  <c r="E63"/>
  <c r="F63"/>
  <c r="A64"/>
  <c r="B64"/>
  <c r="C64"/>
  <c r="E64"/>
  <c r="F64"/>
  <c r="A65"/>
  <c r="B65"/>
  <c r="C65"/>
  <c r="E65"/>
  <c r="F65"/>
  <c r="A66"/>
  <c r="B66"/>
  <c r="C66"/>
  <c r="E66"/>
  <c r="F66"/>
  <c r="A67"/>
  <c r="B67"/>
  <c r="C67"/>
  <c r="E67"/>
  <c r="F67"/>
  <c r="A68"/>
  <c r="B68"/>
  <c r="C68"/>
  <c r="E68"/>
  <c r="F68"/>
  <c r="A69"/>
  <c r="B69"/>
  <c r="C69"/>
  <c r="E69"/>
  <c r="F69"/>
  <c r="A70"/>
  <c r="B70"/>
  <c r="C70"/>
  <c r="E70"/>
  <c r="F70"/>
  <c r="A71"/>
  <c r="B71"/>
  <c r="C71"/>
  <c r="E71"/>
  <c r="F71"/>
  <c r="A72"/>
  <c r="B72"/>
  <c r="C72"/>
  <c r="E72"/>
  <c r="F72"/>
  <c r="A73"/>
  <c r="B73"/>
  <c r="C73"/>
  <c r="E73"/>
  <c r="F73"/>
  <c r="A74"/>
  <c r="B74"/>
  <c r="C74"/>
  <c r="E74"/>
  <c r="F74"/>
  <c r="A75"/>
  <c r="B75"/>
  <c r="C75"/>
  <c r="E75"/>
  <c r="F75"/>
  <c r="A76"/>
  <c r="B76"/>
  <c r="C76"/>
  <c r="E76"/>
  <c r="F76"/>
  <c r="A77"/>
  <c r="B77"/>
  <c r="C77"/>
  <c r="E77"/>
  <c r="F77"/>
  <c r="A78"/>
  <c r="B78"/>
  <c r="C78"/>
  <c r="E78"/>
  <c r="F78"/>
  <c r="A79"/>
  <c r="B79"/>
  <c r="C79"/>
  <c r="E79"/>
  <c r="F79"/>
  <c r="A80"/>
  <c r="B80"/>
  <c r="C80"/>
  <c r="E80"/>
  <c r="F80"/>
  <c r="A81"/>
  <c r="B81"/>
  <c r="C81"/>
  <c r="E81"/>
  <c r="F81"/>
  <c r="A82"/>
  <c r="B82"/>
  <c r="C82"/>
  <c r="E82"/>
  <c r="F82"/>
  <c r="A83"/>
  <c r="B83"/>
  <c r="C83"/>
  <c r="E83"/>
  <c r="F83"/>
  <c r="A84"/>
  <c r="B84"/>
  <c r="C84"/>
  <c r="E84"/>
  <c r="F84"/>
  <c r="A85"/>
  <c r="B85"/>
  <c r="C85"/>
  <c r="E85"/>
  <c r="F85"/>
  <c r="A86"/>
  <c r="B86"/>
  <c r="C86"/>
  <c r="E86"/>
  <c r="F86"/>
  <c r="A87"/>
  <c r="B87"/>
  <c r="C87"/>
  <c r="E87"/>
  <c r="F87"/>
  <c r="A88"/>
  <c r="B88"/>
  <c r="C88"/>
  <c r="E88"/>
  <c r="F88"/>
  <c r="A89"/>
  <c r="B89"/>
  <c r="C89"/>
  <c r="E89"/>
  <c r="F89"/>
  <c r="A90"/>
  <c r="B90"/>
  <c r="C90"/>
  <c r="E90"/>
  <c r="F90"/>
  <c r="A91"/>
  <c r="B91"/>
  <c r="C91"/>
  <c r="E91"/>
  <c r="F91"/>
  <c r="A92"/>
  <c r="B92"/>
  <c r="C92"/>
  <c r="E92"/>
  <c r="F92"/>
  <c r="A93"/>
  <c r="B93"/>
  <c r="C93"/>
  <c r="E93"/>
  <c r="F93"/>
  <c r="A94"/>
  <c r="B94"/>
  <c r="C94"/>
  <c r="E94"/>
  <c r="F94"/>
  <c r="A95"/>
  <c r="B95"/>
  <c r="C95"/>
  <c r="E95"/>
  <c r="F95"/>
  <c r="A96"/>
  <c r="B96"/>
  <c r="C96"/>
  <c r="E96"/>
  <c r="F96"/>
  <c r="A97"/>
  <c r="B97"/>
  <c r="C97"/>
  <c r="E97"/>
  <c r="F97"/>
  <c r="A98"/>
  <c r="B98"/>
  <c r="C98"/>
  <c r="E98"/>
  <c r="F98"/>
  <c r="A99"/>
  <c r="B99"/>
  <c r="C99"/>
  <c r="E99"/>
  <c r="F99"/>
  <c r="A100"/>
  <c r="B100"/>
  <c r="C100"/>
  <c r="E100"/>
  <c r="F100"/>
  <c r="A101"/>
  <c r="B101"/>
  <c r="C101"/>
  <c r="E101"/>
  <c r="F101"/>
  <c r="A102"/>
  <c r="B102"/>
  <c r="C102"/>
  <c r="E102"/>
  <c r="F102"/>
  <c r="A103"/>
  <c r="B103"/>
  <c r="C103"/>
  <c r="E103"/>
  <c r="F103"/>
  <c r="A104"/>
  <c r="B104"/>
  <c r="C104"/>
  <c r="E104"/>
  <c r="F104"/>
  <c r="A105"/>
  <c r="B105"/>
  <c r="C105"/>
  <c r="E105"/>
  <c r="F105"/>
  <c r="A106"/>
  <c r="B106"/>
  <c r="C106"/>
  <c r="E106"/>
  <c r="F106"/>
  <c r="A107"/>
  <c r="B107"/>
  <c r="C107"/>
  <c r="E107"/>
  <c r="F107"/>
  <c r="A108"/>
  <c r="B108"/>
  <c r="C108"/>
  <c r="E108"/>
  <c r="F108"/>
  <c r="A109"/>
  <c r="B109"/>
  <c r="C109"/>
  <c r="E109"/>
  <c r="F109"/>
  <c r="A110"/>
  <c r="B110"/>
  <c r="C110"/>
  <c r="E110"/>
  <c r="F110"/>
  <c r="A111"/>
  <c r="B111"/>
  <c r="C111"/>
  <c r="E111"/>
  <c r="F111"/>
  <c r="A112"/>
  <c r="B112"/>
  <c r="C112"/>
  <c r="E112"/>
  <c r="F112"/>
  <c r="A113"/>
  <c r="B113"/>
  <c r="C113"/>
  <c r="E113"/>
  <c r="F113"/>
  <c r="A114"/>
  <c r="B114"/>
  <c r="C114"/>
  <c r="E114"/>
  <c r="F114"/>
  <c r="A115"/>
  <c r="B115"/>
  <c r="C115"/>
  <c r="E115"/>
  <c r="F115"/>
  <c r="A116"/>
  <c r="B116"/>
  <c r="C116"/>
  <c r="E116"/>
  <c r="F116"/>
  <c r="A117"/>
  <c r="B117"/>
  <c r="C117"/>
  <c r="E117"/>
  <c r="F117"/>
  <c r="A118"/>
  <c r="B118"/>
  <c r="C118"/>
  <c r="E118"/>
  <c r="F118"/>
  <c r="A119"/>
  <c r="B119"/>
  <c r="C119"/>
  <c r="E119"/>
  <c r="F119"/>
  <c r="A120"/>
  <c r="B120"/>
  <c r="C120"/>
  <c r="E120"/>
  <c r="F120"/>
  <c r="A121"/>
  <c r="B121"/>
  <c r="C121"/>
  <c r="E121"/>
  <c r="F121"/>
  <c r="A122"/>
  <c r="B122"/>
  <c r="C122"/>
  <c r="E122"/>
  <c r="F122"/>
  <c r="A123"/>
  <c r="B123"/>
  <c r="C123"/>
  <c r="E123"/>
  <c r="F123"/>
  <c r="A124"/>
  <c r="B124"/>
  <c r="C124"/>
  <c r="E124"/>
  <c r="F124"/>
  <c r="A125"/>
  <c r="B125"/>
  <c r="C125"/>
  <c r="E125"/>
  <c r="F125"/>
  <c r="A126"/>
  <c r="B126"/>
  <c r="C126"/>
  <c r="E126"/>
  <c r="F126"/>
  <c r="A127"/>
  <c r="B127"/>
  <c r="C127"/>
  <c r="E127"/>
  <c r="F127"/>
  <c r="A128"/>
  <c r="B128"/>
  <c r="C128"/>
  <c r="E128"/>
  <c r="F128"/>
  <c r="A129"/>
  <c r="B129"/>
  <c r="C129"/>
  <c r="E129"/>
  <c r="F129"/>
  <c r="A130"/>
  <c r="B130"/>
  <c r="C130"/>
  <c r="E130"/>
  <c r="F130"/>
  <c r="A131"/>
  <c r="B131"/>
  <c r="C131"/>
  <c r="E131"/>
  <c r="F131"/>
  <c r="A132"/>
  <c r="B132"/>
  <c r="C132"/>
  <c r="E132"/>
  <c r="F132"/>
  <c r="A133"/>
  <c r="B133"/>
  <c r="C133"/>
  <c r="E133"/>
  <c r="F133"/>
  <c r="A134"/>
  <c r="B134"/>
  <c r="C134"/>
  <c r="E134"/>
  <c r="F134"/>
  <c r="A135"/>
  <c r="B135"/>
  <c r="C135"/>
  <c r="E135"/>
  <c r="F135"/>
  <c r="A136"/>
  <c r="B136"/>
  <c r="C136"/>
  <c r="E136"/>
  <c r="F136"/>
  <c r="A137"/>
  <c r="B137"/>
  <c r="C137"/>
  <c r="E137"/>
  <c r="F137"/>
  <c r="A138"/>
  <c r="B138"/>
  <c r="C138"/>
  <c r="E138"/>
  <c r="F138"/>
  <c r="A139"/>
  <c r="B139"/>
  <c r="C139"/>
  <c r="E139"/>
  <c r="F139"/>
  <c r="A140"/>
  <c r="B140"/>
  <c r="C140"/>
  <c r="E140"/>
  <c r="F140"/>
  <c r="A141"/>
  <c r="B141"/>
  <c r="C141"/>
  <c r="E141"/>
  <c r="F141"/>
  <c r="A142"/>
  <c r="B142"/>
  <c r="C142"/>
  <c r="E142"/>
  <c r="F142"/>
  <c r="A143"/>
  <c r="B143"/>
  <c r="C143"/>
  <c r="E143"/>
  <c r="F143"/>
  <c r="A144"/>
  <c r="B144"/>
  <c r="C144"/>
  <c r="E144"/>
  <c r="F144"/>
  <c r="A145"/>
  <c r="B145"/>
  <c r="C145"/>
  <c r="E145"/>
  <c r="F145"/>
  <c r="A146"/>
  <c r="B146"/>
  <c r="C146"/>
  <c r="E146"/>
  <c r="F146"/>
  <c r="A147"/>
  <c r="B147"/>
  <c r="C147"/>
  <c r="E147"/>
  <c r="F147"/>
  <c r="A148"/>
  <c r="B148"/>
  <c r="C148"/>
  <c r="E148"/>
  <c r="F148"/>
  <c r="A149"/>
  <c r="B149"/>
  <c r="C149"/>
  <c r="E149"/>
  <c r="F149"/>
  <c r="A150"/>
  <c r="B150"/>
  <c r="C150"/>
  <c r="E150"/>
  <c r="F150"/>
  <c r="A151"/>
  <c r="B151"/>
  <c r="C151"/>
  <c r="E151"/>
  <c r="F151"/>
  <c r="A152"/>
  <c r="B152"/>
  <c r="C152"/>
  <c r="E152"/>
  <c r="F152"/>
  <c r="A153"/>
  <c r="B153"/>
  <c r="C153"/>
  <c r="E153"/>
  <c r="F153"/>
  <c r="A154"/>
  <c r="B154"/>
  <c r="C154"/>
  <c r="E154"/>
  <c r="F154"/>
  <c r="A155"/>
  <c r="B155"/>
  <c r="C155"/>
  <c r="E155"/>
  <c r="F155"/>
  <c r="A156"/>
  <c r="B156"/>
  <c r="C156"/>
  <c r="E156"/>
  <c r="F156"/>
  <c r="A157"/>
  <c r="B157"/>
  <c r="C157"/>
  <c r="E157"/>
  <c r="F157"/>
  <c r="A158"/>
  <c r="B158"/>
  <c r="C158"/>
  <c r="E158"/>
  <c r="F158"/>
  <c r="A159"/>
  <c r="B159"/>
  <c r="C159"/>
  <c r="E159"/>
  <c r="F159"/>
  <c r="A160"/>
  <c r="B160"/>
  <c r="C160"/>
  <c r="E160"/>
  <c r="F160"/>
  <c r="A161"/>
  <c r="B161"/>
  <c r="C161"/>
  <c r="E161"/>
  <c r="F161"/>
  <c r="A162"/>
  <c r="B162"/>
  <c r="C162"/>
  <c r="E162"/>
  <c r="F162"/>
  <c r="A163"/>
  <c r="B163"/>
  <c r="C163"/>
  <c r="E163"/>
  <c r="F163"/>
  <c r="A164"/>
  <c r="B164"/>
  <c r="C164"/>
  <c r="E164"/>
  <c r="F164"/>
  <c r="A165"/>
  <c r="B165"/>
  <c r="C165"/>
  <c r="E165"/>
  <c r="F165"/>
  <c r="A166"/>
  <c r="B166"/>
  <c r="C166"/>
  <c r="E166"/>
  <c r="F166"/>
  <c r="A167"/>
  <c r="B167"/>
  <c r="C167"/>
  <c r="E167"/>
  <c r="F167"/>
  <c r="A168"/>
  <c r="B168"/>
  <c r="C168"/>
  <c r="E168"/>
  <c r="F168"/>
  <c r="A169"/>
  <c r="B169"/>
  <c r="C169"/>
  <c r="E169"/>
  <c r="F169"/>
  <c r="A170"/>
  <c r="B170"/>
  <c r="C170"/>
  <c r="E170"/>
  <c r="F170"/>
  <c r="A171"/>
  <c r="B171"/>
  <c r="C171"/>
  <c r="E171"/>
  <c r="F171"/>
  <c r="A172"/>
  <c r="B172"/>
  <c r="C172"/>
  <c r="E172"/>
  <c r="F172"/>
  <c r="A173"/>
  <c r="B173"/>
  <c r="C173"/>
  <c r="E173"/>
  <c r="F173"/>
  <c r="A174"/>
  <c r="B174"/>
  <c r="C174"/>
  <c r="E174"/>
  <c r="F174"/>
  <c r="A175"/>
  <c r="B175"/>
  <c r="C175"/>
  <c r="E175"/>
  <c r="F175"/>
  <c r="A176"/>
  <c r="B176"/>
  <c r="C176"/>
  <c r="E176"/>
  <c r="F176"/>
  <c r="A177"/>
  <c r="B177"/>
  <c r="C177"/>
  <c r="E177"/>
  <c r="F177"/>
  <c r="A178"/>
  <c r="B178"/>
  <c r="C178"/>
  <c r="E178"/>
  <c r="F178"/>
  <c r="A179"/>
  <c r="B179"/>
  <c r="C179"/>
  <c r="E179"/>
  <c r="F179"/>
  <c r="A180"/>
  <c r="B180"/>
  <c r="C180"/>
  <c r="E180"/>
  <c r="F180"/>
  <c r="A181"/>
  <c r="B181"/>
  <c r="C181"/>
  <c r="E181"/>
  <c r="F181"/>
  <c r="A182"/>
  <c r="B182"/>
  <c r="C182"/>
  <c r="E182"/>
  <c r="F182"/>
  <c r="A183"/>
  <c r="B183"/>
  <c r="C183"/>
  <c r="E183"/>
  <c r="F183"/>
  <c r="A184"/>
  <c r="B184"/>
  <c r="C184"/>
  <c r="E184"/>
  <c r="F184"/>
  <c r="A185"/>
  <c r="B185"/>
  <c r="C185"/>
  <c r="E185"/>
  <c r="F185"/>
  <c r="A186"/>
  <c r="B186"/>
  <c r="C186"/>
  <c r="E186"/>
  <c r="F186"/>
  <c r="A187"/>
  <c r="B187"/>
  <c r="C187"/>
  <c r="E187"/>
  <c r="F187"/>
  <c r="A188"/>
  <c r="B188"/>
  <c r="C188"/>
  <c r="E188"/>
  <c r="F188"/>
  <c r="A189"/>
  <c r="B189"/>
  <c r="C189"/>
  <c r="E189"/>
  <c r="F189"/>
  <c r="A190"/>
  <c r="B190"/>
  <c r="C190"/>
  <c r="E190"/>
  <c r="F190"/>
  <c r="A191"/>
  <c r="B191"/>
  <c r="C191"/>
  <c r="E191"/>
  <c r="F191"/>
  <c r="A192"/>
  <c r="B192"/>
  <c r="C192"/>
  <c r="E192"/>
  <c r="F192"/>
  <c r="A193"/>
  <c r="B193"/>
  <c r="C193"/>
  <c r="E193"/>
  <c r="F193"/>
  <c r="A194"/>
  <c r="B194"/>
  <c r="C194"/>
  <c r="E194"/>
  <c r="F194"/>
  <c r="A195"/>
  <c r="B195"/>
  <c r="C195"/>
  <c r="E195"/>
  <c r="F195"/>
  <c r="A196"/>
  <c r="B196"/>
  <c r="C196"/>
  <c r="E196"/>
  <c r="F196"/>
  <c r="A197"/>
  <c r="B197"/>
  <c r="C197"/>
  <c r="E197"/>
  <c r="F197"/>
  <c r="A198"/>
  <c r="B198"/>
  <c r="C198"/>
  <c r="E198"/>
  <c r="F198"/>
  <c r="A199"/>
  <c r="B199"/>
  <c r="C199"/>
  <c r="E199"/>
  <c r="F199"/>
  <c r="A200"/>
  <c r="B200"/>
  <c r="C200"/>
  <c r="E200"/>
  <c r="F200"/>
  <c r="A201"/>
  <c r="B201"/>
  <c r="C201"/>
  <c r="E201"/>
  <c r="F201"/>
  <c r="A202"/>
  <c r="B202"/>
  <c r="C202"/>
  <c r="E202"/>
  <c r="F202"/>
  <c r="A203"/>
  <c r="B203"/>
  <c r="C203"/>
  <c r="E203"/>
  <c r="F203"/>
  <c r="A204"/>
  <c r="B204"/>
  <c r="C204"/>
  <c r="E204"/>
  <c r="F204"/>
  <c r="A205"/>
  <c r="B205"/>
  <c r="C205"/>
  <c r="E205"/>
  <c r="F205"/>
  <c r="A206"/>
  <c r="B206"/>
  <c r="C206"/>
  <c r="E206"/>
  <c r="F206"/>
  <c r="A207"/>
  <c r="B207"/>
  <c r="C207"/>
  <c r="E207"/>
  <c r="F207"/>
  <c r="A208"/>
  <c r="B208"/>
  <c r="C208"/>
  <c r="E208"/>
  <c r="F208"/>
  <c r="A209"/>
  <c r="B209"/>
  <c r="C209"/>
  <c r="E209"/>
  <c r="F209"/>
  <c r="A210"/>
  <c r="B210"/>
  <c r="C210"/>
  <c r="E210"/>
  <c r="F210"/>
  <c r="A211"/>
  <c r="B211"/>
  <c r="C211"/>
  <c r="E211"/>
  <c r="F211"/>
  <c r="A212"/>
  <c r="B212"/>
  <c r="C212"/>
  <c r="E212"/>
  <c r="F212"/>
  <c r="A213"/>
  <c r="B213"/>
  <c r="C213"/>
  <c r="E213"/>
  <c r="F213"/>
  <c r="A214"/>
  <c r="B214"/>
  <c r="C214"/>
  <c r="E214"/>
  <c r="F214"/>
  <c r="A215"/>
  <c r="B215"/>
  <c r="C215"/>
  <c r="E215"/>
  <c r="F215"/>
  <c r="A216"/>
  <c r="B216"/>
  <c r="C216"/>
  <c r="E216"/>
  <c r="F216"/>
  <c r="A217"/>
  <c r="B217"/>
  <c r="C217"/>
  <c r="E217"/>
  <c r="F217"/>
  <c r="A218"/>
  <c r="B218"/>
  <c r="C218"/>
  <c r="E218"/>
  <c r="F218"/>
  <c r="A219"/>
  <c r="B219"/>
  <c r="C219"/>
  <c r="E219"/>
  <c r="F219"/>
  <c r="A220"/>
  <c r="B220"/>
  <c r="C220"/>
  <c r="E220"/>
  <c r="F220"/>
  <c r="A221"/>
  <c r="B221"/>
  <c r="C221"/>
  <c r="E221"/>
  <c r="F221"/>
  <c r="A222"/>
  <c r="B222"/>
  <c r="C222"/>
  <c r="E222"/>
  <c r="F222"/>
  <c r="A223"/>
  <c r="B223"/>
  <c r="C223"/>
  <c r="E223"/>
  <c r="F223"/>
  <c r="A224"/>
  <c r="B224"/>
  <c r="C224"/>
  <c r="E224"/>
  <c r="F224"/>
  <c r="A225"/>
  <c r="B225"/>
  <c r="C225"/>
  <c r="E225"/>
  <c r="F225"/>
  <c r="A226"/>
  <c r="B226"/>
  <c r="C226"/>
  <c r="E226"/>
  <c r="F226"/>
  <c r="A227"/>
  <c r="B227"/>
  <c r="C227"/>
  <c r="E227"/>
  <c r="F227"/>
  <c r="A228"/>
  <c r="B228"/>
  <c r="C228"/>
  <c r="E228"/>
  <c r="F228"/>
  <c r="A229"/>
  <c r="B229"/>
  <c r="C229"/>
  <c r="E229"/>
  <c r="F229"/>
  <c r="A230"/>
  <c r="B230"/>
  <c r="C230"/>
  <c r="E230"/>
  <c r="F230"/>
  <c r="A231"/>
  <c r="B231"/>
  <c r="C231"/>
  <c r="E231"/>
  <c r="F231"/>
  <c r="A232"/>
  <c r="B232"/>
  <c r="C232"/>
  <c r="E232"/>
  <c r="F232"/>
  <c r="A233"/>
  <c r="B233"/>
  <c r="C233"/>
  <c r="E233"/>
  <c r="F233"/>
  <c r="A234"/>
  <c r="B234"/>
  <c r="C234"/>
  <c r="E234"/>
  <c r="F234"/>
  <c r="A235"/>
  <c r="B235"/>
  <c r="C235"/>
  <c r="E235"/>
  <c r="F235"/>
  <c r="A236"/>
  <c r="B236"/>
  <c r="C236"/>
  <c r="E236"/>
  <c r="F236"/>
  <c r="A237"/>
  <c r="B237"/>
  <c r="C237"/>
  <c r="E237"/>
  <c r="F237"/>
  <c r="A238"/>
  <c r="B238"/>
  <c r="C238"/>
  <c r="E238"/>
  <c r="F238"/>
  <c r="A239"/>
  <c r="B239"/>
  <c r="C239"/>
  <c r="E239"/>
  <c r="F239"/>
  <c r="A240"/>
  <c r="B240"/>
  <c r="C240"/>
  <c r="E240"/>
  <c r="F240"/>
  <c r="A241"/>
  <c r="B241"/>
  <c r="C241"/>
  <c r="E241"/>
  <c r="F241"/>
  <c r="A242"/>
  <c r="B242"/>
  <c r="C242"/>
  <c r="E242"/>
  <c r="F242"/>
  <c r="A243"/>
  <c r="B243"/>
  <c r="C243"/>
  <c r="E243"/>
  <c r="F243"/>
  <c r="A244"/>
  <c r="B244"/>
  <c r="C244"/>
  <c r="E244"/>
  <c r="F244"/>
  <c r="A245"/>
  <c r="B245"/>
  <c r="C245"/>
  <c r="E245"/>
  <c r="F245"/>
  <c r="A246"/>
  <c r="B246"/>
  <c r="C246"/>
  <c r="E246"/>
  <c r="F246"/>
  <c r="A247"/>
  <c r="B247"/>
  <c r="C247"/>
  <c r="E247"/>
  <c r="F247"/>
  <c r="A248"/>
  <c r="B248"/>
  <c r="C248"/>
  <c r="E248"/>
  <c r="F248"/>
  <c r="A249"/>
  <c r="B249"/>
  <c r="C249"/>
  <c r="E249"/>
  <c r="F249"/>
  <c r="A250"/>
  <c r="B250"/>
  <c r="C250"/>
  <c r="E250"/>
  <c r="F250"/>
  <c r="A251"/>
  <c r="B251"/>
  <c r="C251"/>
  <c r="E251"/>
  <c r="F251"/>
  <c r="A252"/>
  <c r="B252"/>
  <c r="C252"/>
  <c r="E252"/>
  <c r="F252"/>
  <c r="A253"/>
  <c r="B253"/>
  <c r="C253"/>
  <c r="E253"/>
  <c r="F253"/>
  <c r="A254"/>
  <c r="B254"/>
  <c r="C254"/>
  <c r="E254"/>
  <c r="F254"/>
  <c r="A255"/>
  <c r="B255"/>
  <c r="C255"/>
  <c r="E255"/>
  <c r="F255"/>
  <c r="A256"/>
  <c r="B256"/>
  <c r="C256"/>
  <c r="E256"/>
  <c r="F256"/>
  <c r="A257"/>
  <c r="B257"/>
  <c r="C257"/>
  <c r="E257"/>
  <c r="F257"/>
  <c r="A258"/>
  <c r="B258"/>
  <c r="C258"/>
  <c r="E258"/>
  <c r="F258"/>
  <c r="A259"/>
  <c r="B259"/>
  <c r="C259"/>
  <c r="E259"/>
  <c r="F259"/>
  <c r="A260"/>
  <c r="B260"/>
  <c r="C260"/>
  <c r="E260"/>
  <c r="F260"/>
  <c r="A261"/>
  <c r="B261"/>
  <c r="C261"/>
  <c r="E261"/>
  <c r="F261"/>
  <c r="A262"/>
  <c r="B262"/>
  <c r="C262"/>
  <c r="E262"/>
  <c r="F262"/>
  <c r="A263"/>
  <c r="B263"/>
  <c r="C263"/>
  <c r="E263"/>
  <c r="F263"/>
  <c r="A264"/>
  <c r="B264"/>
  <c r="C264"/>
  <c r="E264"/>
  <c r="F264"/>
  <c r="A265"/>
  <c r="B265"/>
  <c r="C265"/>
  <c r="E265"/>
  <c r="F265"/>
  <c r="A266"/>
  <c r="B266"/>
  <c r="C266"/>
  <c r="E266"/>
  <c r="F266"/>
  <c r="A267"/>
  <c r="B267"/>
  <c r="C267"/>
  <c r="E267"/>
  <c r="F267"/>
  <c r="A268"/>
  <c r="B268"/>
  <c r="C268"/>
  <c r="E268"/>
  <c r="F268"/>
  <c r="A269"/>
  <c r="B269"/>
  <c r="C269"/>
  <c r="E269"/>
  <c r="F269"/>
  <c r="A270"/>
  <c r="B270"/>
  <c r="C270"/>
  <c r="E270"/>
  <c r="F270"/>
  <c r="A271"/>
  <c r="B271"/>
  <c r="C271"/>
  <c r="E271"/>
  <c r="F271"/>
  <c r="A272"/>
  <c r="B272"/>
  <c r="C272"/>
  <c r="E272"/>
  <c r="F272"/>
  <c r="A273"/>
  <c r="B273"/>
  <c r="C273"/>
  <c r="E273"/>
  <c r="F273"/>
  <c r="A274"/>
  <c r="B274"/>
  <c r="C274"/>
  <c r="E274"/>
  <c r="F274"/>
  <c r="A275"/>
  <c r="B275"/>
  <c r="C275"/>
  <c r="E275"/>
  <c r="F275"/>
  <c r="A276"/>
  <c r="B276"/>
  <c r="C276"/>
  <c r="E276"/>
  <c r="F276"/>
  <c r="A277"/>
  <c r="B277"/>
  <c r="C277"/>
  <c r="E277"/>
  <c r="F277"/>
  <c r="A278"/>
  <c r="B278"/>
  <c r="C278"/>
  <c r="E278"/>
  <c r="F278"/>
  <c r="A279"/>
  <c r="B279"/>
  <c r="C279"/>
  <c r="E279"/>
  <c r="F279"/>
  <c r="A280"/>
  <c r="B280"/>
  <c r="C280"/>
  <c r="E280"/>
  <c r="F280"/>
  <c r="A281"/>
  <c r="B281"/>
  <c r="C281"/>
  <c r="E281"/>
  <c r="F281"/>
  <c r="A282"/>
  <c r="B282"/>
  <c r="C282"/>
  <c r="E282"/>
  <c r="F282"/>
  <c r="A283"/>
  <c r="B283"/>
  <c r="C283"/>
  <c r="E283"/>
  <c r="F283"/>
  <c r="A284"/>
  <c r="B284"/>
  <c r="C284"/>
  <c r="E284"/>
  <c r="F284"/>
  <c r="A285"/>
  <c r="B285"/>
  <c r="C285"/>
  <c r="E285"/>
  <c r="F285"/>
  <c r="A286"/>
  <c r="B286"/>
  <c r="C286"/>
  <c r="E286"/>
  <c r="F286"/>
  <c r="A287"/>
  <c r="B287"/>
  <c r="C287"/>
  <c r="E287"/>
  <c r="F287"/>
  <c r="A288"/>
  <c r="B288"/>
  <c r="C288"/>
  <c r="E288"/>
  <c r="F288"/>
  <c r="A289"/>
  <c r="B289"/>
  <c r="C289"/>
  <c r="E289"/>
  <c r="F289"/>
  <c r="A290"/>
  <c r="B290"/>
  <c r="C290"/>
  <c r="E290"/>
  <c r="F290"/>
  <c r="A291"/>
  <c r="B291"/>
  <c r="C291"/>
  <c r="E291"/>
  <c r="F291"/>
  <c r="A292"/>
  <c r="B292"/>
  <c r="C292"/>
  <c r="E292"/>
  <c r="F292"/>
  <c r="A293"/>
  <c r="B293"/>
  <c r="C293"/>
  <c r="E293"/>
  <c r="F293"/>
  <c r="A294"/>
  <c r="B294"/>
  <c r="C294"/>
  <c r="E294"/>
  <c r="F294"/>
  <c r="A295"/>
  <c r="B295"/>
  <c r="C295"/>
  <c r="E295"/>
  <c r="F295"/>
  <c r="A296"/>
  <c r="B296"/>
  <c r="C296"/>
  <c r="E296"/>
  <c r="F296"/>
  <c r="A297"/>
  <c r="B297"/>
  <c r="C297"/>
  <c r="E297"/>
  <c r="F297"/>
  <c r="A298"/>
  <c r="B298"/>
  <c r="C298"/>
  <c r="E298"/>
  <c r="F298"/>
  <c r="A299"/>
  <c r="B299"/>
  <c r="C299"/>
  <c r="E299"/>
  <c r="F299"/>
  <c r="A300"/>
  <c r="B300"/>
  <c r="C300"/>
  <c r="E300"/>
  <c r="F300"/>
  <c r="A301"/>
  <c r="B301"/>
  <c r="C301"/>
  <c r="E301"/>
  <c r="F301"/>
  <c r="A302"/>
  <c r="B302"/>
  <c r="C302"/>
  <c r="E302"/>
  <c r="F302"/>
  <c r="A303"/>
  <c r="B303"/>
  <c r="C303"/>
  <c r="E303"/>
  <c r="F303"/>
  <c r="A304"/>
  <c r="B304"/>
  <c r="C304"/>
  <c r="E304"/>
  <c r="F304"/>
  <c r="A305"/>
  <c r="B305"/>
  <c r="C305"/>
  <c r="E305"/>
  <c r="F305"/>
  <c r="A306"/>
  <c r="B306"/>
  <c r="C306"/>
  <c r="E306"/>
  <c r="F306"/>
  <c r="A307"/>
  <c r="B307"/>
  <c r="C307"/>
  <c r="E307"/>
  <c r="F307"/>
  <c r="A308"/>
  <c r="B308"/>
  <c r="C308"/>
  <c r="E308"/>
  <c r="F308"/>
  <c r="A309"/>
  <c r="B309"/>
  <c r="C309"/>
  <c r="E309"/>
  <c r="F309"/>
  <c r="A310"/>
  <c r="B310"/>
  <c r="C310"/>
  <c r="E310"/>
  <c r="F310"/>
  <c r="A311"/>
  <c r="B311"/>
  <c r="C311"/>
  <c r="E311"/>
  <c r="F311"/>
  <c r="A312"/>
  <c r="B312"/>
  <c r="C312"/>
  <c r="E312"/>
  <c r="F312"/>
  <c r="A313"/>
  <c r="B313"/>
  <c r="C313"/>
  <c r="E313"/>
  <c r="F313"/>
  <c r="A314"/>
  <c r="B314"/>
  <c r="C314"/>
  <c r="E314"/>
  <c r="F314"/>
  <c r="A315"/>
  <c r="B315"/>
  <c r="C315"/>
  <c r="E315"/>
  <c r="F315"/>
  <c r="A316"/>
  <c r="B316"/>
  <c r="C316"/>
  <c r="E316"/>
  <c r="F316"/>
  <c r="A317"/>
  <c r="B317"/>
  <c r="C317"/>
  <c r="E317"/>
  <c r="F317"/>
  <c r="A318"/>
  <c r="B318"/>
  <c r="C318"/>
  <c r="E318"/>
  <c r="F318"/>
  <c r="A319"/>
  <c r="B319"/>
  <c r="C319"/>
  <c r="E319"/>
  <c r="F319"/>
  <c r="A320"/>
  <c r="B320"/>
  <c r="C320"/>
  <c r="E320"/>
  <c r="F320"/>
  <c r="A321"/>
  <c r="B321"/>
  <c r="C321"/>
  <c r="E321"/>
  <c r="F321"/>
  <c r="A322"/>
  <c r="B322"/>
  <c r="C322"/>
  <c r="E322"/>
  <c r="F322"/>
  <c r="A323"/>
  <c r="B323"/>
  <c r="C323"/>
  <c r="E323"/>
  <c r="F323"/>
  <c r="A324"/>
  <c r="B324"/>
  <c r="C324"/>
  <c r="E324"/>
  <c r="F324"/>
  <c r="A325"/>
  <c r="B325"/>
  <c r="C325"/>
  <c r="E325"/>
  <c r="F325"/>
  <c r="A326"/>
  <c r="B326"/>
  <c r="C326"/>
  <c r="E326"/>
  <c r="F326"/>
  <c r="A327"/>
  <c r="B327"/>
  <c r="C327"/>
  <c r="E327"/>
  <c r="F327"/>
  <c r="A328"/>
  <c r="B328"/>
  <c r="C328"/>
  <c r="E328"/>
  <c r="F328"/>
  <c r="A329"/>
  <c r="B329"/>
  <c r="C329"/>
  <c r="E329"/>
  <c r="F329"/>
  <c r="A330"/>
  <c r="B330"/>
  <c r="C330"/>
  <c r="E330"/>
  <c r="F330"/>
  <c r="A331"/>
  <c r="B331"/>
  <c r="C331"/>
  <c r="E331"/>
  <c r="F331"/>
  <c r="A332"/>
  <c r="B332"/>
  <c r="C332"/>
  <c r="E332"/>
  <c r="F332"/>
  <c r="A333"/>
  <c r="B333"/>
  <c r="C333"/>
  <c r="E333"/>
  <c r="F333"/>
  <c r="A334"/>
  <c r="B334"/>
  <c r="C334"/>
  <c r="E334"/>
  <c r="F334"/>
  <c r="A335"/>
  <c r="B335"/>
  <c r="C335"/>
  <c r="E335"/>
  <c r="F335"/>
  <c r="A336"/>
  <c r="B336"/>
  <c r="C336"/>
  <c r="E336"/>
  <c r="F336"/>
  <c r="A337"/>
  <c r="B337"/>
  <c r="C337"/>
  <c r="E337"/>
  <c r="F337"/>
  <c r="A338"/>
  <c r="B338"/>
  <c r="C338"/>
  <c r="E338"/>
  <c r="F338"/>
  <c r="A339"/>
  <c r="B339"/>
  <c r="C339"/>
  <c r="E339"/>
  <c r="F339"/>
  <c r="A340"/>
  <c r="B340"/>
  <c r="C340"/>
  <c r="E340"/>
  <c r="F340"/>
  <c r="A341"/>
  <c r="B341"/>
  <c r="C341"/>
  <c r="E341"/>
  <c r="F341"/>
  <c r="A342"/>
  <c r="B342"/>
  <c r="C342"/>
  <c r="E342"/>
  <c r="F342"/>
  <c r="A343"/>
  <c r="B343"/>
  <c r="C343"/>
  <c r="E343"/>
  <c r="F343"/>
  <c r="A344"/>
  <c r="B344"/>
  <c r="C344"/>
  <c r="E344"/>
  <c r="F344"/>
  <c r="A345"/>
  <c r="B345"/>
  <c r="C345"/>
  <c r="E345"/>
  <c r="F345"/>
  <c r="A346"/>
  <c r="B346"/>
  <c r="C346"/>
  <c r="E346"/>
  <c r="F346"/>
  <c r="A347"/>
  <c r="B347"/>
  <c r="C347"/>
  <c r="E347"/>
  <c r="F347"/>
  <c r="A348"/>
  <c r="B348"/>
  <c r="C348"/>
  <c r="E348"/>
  <c r="F348"/>
  <c r="A349"/>
  <c r="B349"/>
  <c r="C349"/>
  <c r="E349"/>
  <c r="F349"/>
  <c r="A350"/>
  <c r="B350"/>
  <c r="C350"/>
  <c r="E350"/>
  <c r="F350"/>
  <c r="A351"/>
  <c r="B351"/>
  <c r="C351"/>
  <c r="E351"/>
  <c r="F351"/>
  <c r="A352"/>
  <c r="B352"/>
  <c r="C352"/>
  <c r="E352"/>
  <c r="F352"/>
  <c r="A353"/>
  <c r="B353"/>
  <c r="C353"/>
  <c r="E353"/>
  <c r="F353"/>
  <c r="A354"/>
  <c r="B354"/>
  <c r="C354"/>
  <c r="E354"/>
  <c r="F354"/>
  <c r="A355"/>
  <c r="B355"/>
  <c r="C355"/>
  <c r="E355"/>
  <c r="F355"/>
  <c r="A356"/>
  <c r="B356"/>
  <c r="C356"/>
  <c r="E356"/>
  <c r="F356"/>
  <c r="A357"/>
  <c r="B357"/>
  <c r="C357"/>
  <c r="E357"/>
  <c r="F357"/>
  <c r="A358"/>
  <c r="B358"/>
  <c r="C358"/>
  <c r="E358"/>
  <c r="F358"/>
  <c r="A359"/>
  <c r="B359"/>
  <c r="C359"/>
  <c r="E359"/>
  <c r="F359"/>
  <c r="A360"/>
  <c r="B360"/>
  <c r="C360"/>
  <c r="E360"/>
  <c r="F360"/>
  <c r="A361"/>
  <c r="B361"/>
  <c r="C361"/>
  <c r="E361"/>
  <c r="F361"/>
  <c r="A1" i="4"/>
  <c r="B1"/>
  <c r="C1"/>
  <c r="D1"/>
  <c r="E1"/>
  <c r="F1"/>
  <c r="A2"/>
  <c r="B2"/>
  <c r="C2"/>
  <c r="E2"/>
  <c r="F2"/>
  <c r="A3"/>
  <c r="B3"/>
  <c r="C3"/>
  <c r="E3"/>
  <c r="F3"/>
  <c r="A4"/>
  <c r="B4"/>
  <c r="C4"/>
  <c r="E4"/>
  <c r="F4"/>
  <c r="A5"/>
  <c r="B5"/>
  <c r="C5"/>
  <c r="E5"/>
  <c r="F5"/>
  <c r="A6"/>
  <c r="B6"/>
  <c r="C6"/>
  <c r="E6"/>
  <c r="F6"/>
  <c r="A7"/>
  <c r="B7"/>
  <c r="C7"/>
  <c r="E7"/>
  <c r="F7"/>
  <c r="A8"/>
  <c r="B8"/>
  <c r="C8"/>
  <c r="E8"/>
  <c r="F8"/>
  <c r="A9"/>
  <c r="B9"/>
  <c r="C9"/>
  <c r="E9"/>
  <c r="F9"/>
  <c r="A10"/>
  <c r="B10"/>
  <c r="C10"/>
  <c r="E10"/>
  <c r="F10"/>
  <c r="A11"/>
  <c r="B11"/>
  <c r="C11"/>
  <c r="E11"/>
  <c r="F11"/>
  <c r="A12"/>
  <c r="B12"/>
  <c r="C12"/>
  <c r="E12"/>
  <c r="F12"/>
  <c r="A13"/>
  <c r="B13"/>
  <c r="C13"/>
  <c r="E13"/>
  <c r="F13"/>
  <c r="A14"/>
  <c r="B14"/>
  <c r="C14"/>
  <c r="E14"/>
  <c r="F14"/>
  <c r="A15"/>
  <c r="B15"/>
  <c r="C15"/>
  <c r="E15"/>
  <c r="F15"/>
  <c r="A16"/>
  <c r="B16"/>
  <c r="C16"/>
  <c r="E16"/>
  <c r="F16"/>
  <c r="A17"/>
  <c r="B17"/>
  <c r="C17"/>
  <c r="E17"/>
  <c r="F17"/>
  <c r="A18"/>
  <c r="B18"/>
  <c r="C18"/>
  <c r="E18"/>
  <c r="F18"/>
  <c r="A19"/>
  <c r="B19"/>
  <c r="C19"/>
  <c r="E19"/>
  <c r="F19"/>
  <c r="A20"/>
  <c r="B20"/>
  <c r="C20"/>
  <c r="E20"/>
  <c r="F20"/>
  <c r="A21"/>
  <c r="B21"/>
  <c r="C21"/>
  <c r="E21"/>
  <c r="F21"/>
  <c r="A22"/>
  <c r="B22"/>
  <c r="C22"/>
  <c r="E22"/>
  <c r="F22"/>
  <c r="A23"/>
  <c r="B23"/>
  <c r="C23"/>
  <c r="E23"/>
  <c r="F23"/>
  <c r="A24"/>
  <c r="B24"/>
  <c r="C24"/>
  <c r="E24"/>
  <c r="F24"/>
  <c r="A25"/>
  <c r="B25"/>
  <c r="C25"/>
  <c r="E25"/>
  <c r="F25"/>
  <c r="A26"/>
  <c r="B26"/>
  <c r="C26"/>
  <c r="E26"/>
  <c r="F26"/>
  <c r="A27"/>
  <c r="B27"/>
  <c r="C27"/>
  <c r="E27"/>
  <c r="F27"/>
  <c r="A28"/>
  <c r="B28"/>
  <c r="C28"/>
  <c r="E28"/>
  <c r="F28"/>
  <c r="A29"/>
  <c r="B29"/>
  <c r="C29"/>
  <c r="E29"/>
  <c r="F29"/>
  <c r="A30"/>
  <c r="B30"/>
  <c r="C30"/>
  <c r="E30"/>
  <c r="F30"/>
  <c r="A31"/>
  <c r="B31"/>
  <c r="C31"/>
  <c r="E31"/>
  <c r="F31"/>
  <c r="A32"/>
  <c r="B32"/>
  <c r="C32"/>
  <c r="E32"/>
  <c r="F32"/>
  <c r="A33"/>
  <c r="B33"/>
  <c r="C33"/>
  <c r="E33"/>
  <c r="F33"/>
  <c r="A34"/>
  <c r="B34"/>
  <c r="C34"/>
  <c r="E34"/>
  <c r="F34"/>
  <c r="A35"/>
  <c r="B35"/>
  <c r="C35"/>
  <c r="E35"/>
  <c r="F35"/>
  <c r="A36"/>
  <c r="B36"/>
  <c r="C36"/>
  <c r="E36"/>
  <c r="F36"/>
  <c r="A37"/>
  <c r="B37"/>
  <c r="C37"/>
  <c r="E37"/>
  <c r="F37"/>
  <c r="A38"/>
  <c r="B38"/>
  <c r="C38"/>
  <c r="E38"/>
  <c r="F38"/>
  <c r="A39"/>
  <c r="B39"/>
  <c r="C39"/>
  <c r="E39"/>
  <c r="F39"/>
  <c r="A40"/>
  <c r="B40"/>
  <c r="C40"/>
  <c r="E40"/>
  <c r="F40"/>
  <c r="A41"/>
  <c r="B41"/>
  <c r="C41"/>
  <c r="E41"/>
  <c r="F41"/>
  <c r="A42"/>
  <c r="B42"/>
  <c r="C42"/>
  <c r="E42"/>
  <c r="F42"/>
  <c r="A43"/>
  <c r="B43"/>
  <c r="C43"/>
  <c r="E43"/>
  <c r="F43"/>
  <c r="A44"/>
  <c r="B44"/>
  <c r="C44"/>
  <c r="E44"/>
  <c r="F44"/>
  <c r="A45"/>
  <c r="B45"/>
  <c r="C45"/>
  <c r="E45"/>
  <c r="F45"/>
  <c r="A46"/>
  <c r="B46"/>
  <c r="C46"/>
  <c r="E46"/>
  <c r="F46"/>
  <c r="A47"/>
  <c r="B47"/>
  <c r="C47"/>
  <c r="E47"/>
  <c r="F47"/>
  <c r="A48"/>
  <c r="B48"/>
  <c r="C48"/>
  <c r="E48"/>
  <c r="F48"/>
  <c r="A49"/>
  <c r="B49"/>
  <c r="C49"/>
  <c r="E49"/>
  <c r="F49"/>
  <c r="A50"/>
  <c r="B50"/>
  <c r="C50"/>
  <c r="E50"/>
  <c r="F50"/>
  <c r="A51"/>
  <c r="B51"/>
  <c r="C51"/>
  <c r="E51"/>
  <c r="F51"/>
  <c r="A52"/>
  <c r="B52"/>
  <c r="C52"/>
  <c r="E52"/>
  <c r="F52"/>
  <c r="A53"/>
  <c r="B53"/>
  <c r="C53"/>
  <c r="E53"/>
  <c r="F53"/>
  <c r="A54"/>
  <c r="B54"/>
  <c r="C54"/>
  <c r="E54"/>
  <c r="F54"/>
  <c r="A55"/>
  <c r="B55"/>
  <c r="C55"/>
  <c r="E55"/>
  <c r="F55"/>
  <c r="A56"/>
  <c r="B56"/>
  <c r="C56"/>
  <c r="E56"/>
  <c r="F56"/>
  <c r="A57"/>
  <c r="B57"/>
  <c r="C57"/>
  <c r="E57"/>
  <c r="F57"/>
  <c r="A58"/>
  <c r="B58"/>
  <c r="C58"/>
  <c r="E58"/>
  <c r="F58"/>
  <c r="A59"/>
  <c r="B59"/>
  <c r="C59"/>
  <c r="E59"/>
  <c r="F59"/>
  <c r="A60"/>
  <c r="B60"/>
  <c r="C60"/>
  <c r="E60"/>
  <c r="F60"/>
  <c r="A61"/>
  <c r="B61"/>
  <c r="C61"/>
  <c r="E61"/>
  <c r="F61"/>
  <c r="A62"/>
  <c r="B62"/>
  <c r="C62"/>
  <c r="E62"/>
  <c r="F62"/>
  <c r="A63"/>
  <c r="B63"/>
  <c r="C63"/>
  <c r="E63"/>
  <c r="F63"/>
  <c r="A64"/>
  <c r="B64"/>
  <c r="C64"/>
  <c r="E64"/>
  <c r="F64"/>
  <c r="A65"/>
  <c r="B65"/>
  <c r="C65"/>
  <c r="E65"/>
  <c r="F65"/>
  <c r="A66"/>
  <c r="B66"/>
  <c r="C66"/>
  <c r="E66"/>
  <c r="F66"/>
  <c r="A67"/>
  <c r="B67"/>
  <c r="C67"/>
  <c r="E67"/>
  <c r="F67"/>
  <c r="A68"/>
  <c r="B68"/>
  <c r="C68"/>
  <c r="E68"/>
  <c r="F68"/>
  <c r="A69"/>
  <c r="B69"/>
  <c r="C69"/>
  <c r="E69"/>
  <c r="F69"/>
  <c r="A70"/>
  <c r="B70"/>
  <c r="C70"/>
  <c r="E70"/>
  <c r="F70"/>
  <c r="A71"/>
  <c r="B71"/>
  <c r="C71"/>
  <c r="E71"/>
  <c r="F71"/>
  <c r="A72"/>
  <c r="B72"/>
  <c r="C72"/>
  <c r="E72"/>
  <c r="F72"/>
  <c r="A73"/>
  <c r="B73"/>
  <c r="C73"/>
  <c r="E73"/>
  <c r="F73"/>
  <c r="A74"/>
  <c r="B74"/>
  <c r="C74"/>
  <c r="E74"/>
  <c r="F74"/>
  <c r="A75"/>
  <c r="B75"/>
  <c r="C75"/>
  <c r="E75"/>
  <c r="F75"/>
  <c r="A76"/>
  <c r="B76"/>
  <c r="C76"/>
  <c r="E76"/>
  <c r="F76"/>
  <c r="A77"/>
  <c r="B77"/>
  <c r="C77"/>
  <c r="E77"/>
  <c r="F77"/>
  <c r="A78"/>
  <c r="B78"/>
  <c r="C78"/>
  <c r="E78"/>
  <c r="F78"/>
  <c r="A79"/>
  <c r="B79"/>
  <c r="C79"/>
  <c r="E79"/>
  <c r="F79"/>
  <c r="A80"/>
  <c r="B80"/>
  <c r="C80"/>
  <c r="E80"/>
  <c r="F80"/>
  <c r="A81"/>
  <c r="B81"/>
  <c r="C81"/>
  <c r="E81"/>
  <c r="F81"/>
  <c r="A82"/>
  <c r="B82"/>
  <c r="C82"/>
  <c r="E82"/>
  <c r="F82"/>
  <c r="A83"/>
  <c r="B83"/>
  <c r="C83"/>
  <c r="E83"/>
  <c r="F83"/>
  <c r="A84"/>
  <c r="B84"/>
  <c r="C84"/>
  <c r="E84"/>
  <c r="F84"/>
  <c r="A85"/>
  <c r="B85"/>
  <c r="C85"/>
  <c r="E85"/>
  <c r="F85"/>
  <c r="A86"/>
  <c r="B86"/>
  <c r="C86"/>
  <c r="E86"/>
  <c r="F86"/>
  <c r="A87"/>
  <c r="B87"/>
  <c r="C87"/>
  <c r="E87"/>
  <c r="F87"/>
  <c r="A88"/>
  <c r="B88"/>
  <c r="C88"/>
  <c r="E88"/>
  <c r="F88"/>
  <c r="A89"/>
  <c r="B89"/>
  <c r="C89"/>
  <c r="E89"/>
  <c r="F89"/>
  <c r="A90"/>
  <c r="B90"/>
  <c r="C90"/>
  <c r="E90"/>
  <c r="F90"/>
  <c r="A91"/>
  <c r="B91"/>
  <c r="C91"/>
  <c r="E91"/>
  <c r="F91"/>
  <c r="A92"/>
  <c r="B92"/>
  <c r="C92"/>
  <c r="E92"/>
  <c r="F92"/>
  <c r="A93"/>
  <c r="B93"/>
  <c r="C93"/>
  <c r="E93"/>
  <c r="F93"/>
  <c r="A94"/>
  <c r="B94"/>
  <c r="C94"/>
  <c r="E94"/>
  <c r="F94"/>
  <c r="A95"/>
  <c r="B95"/>
  <c r="C95"/>
  <c r="E95"/>
  <c r="F95"/>
  <c r="A96"/>
  <c r="B96"/>
  <c r="C96"/>
  <c r="E96"/>
  <c r="F96"/>
  <c r="A97"/>
  <c r="B97"/>
  <c r="C97"/>
  <c r="E97"/>
  <c r="F97"/>
  <c r="A98"/>
  <c r="B98"/>
  <c r="C98"/>
  <c r="E98"/>
  <c r="F98"/>
  <c r="A99"/>
  <c r="B99"/>
  <c r="C99"/>
  <c r="E99"/>
  <c r="F99"/>
  <c r="A100"/>
  <c r="B100"/>
  <c r="C100"/>
  <c r="E100"/>
  <c r="F100"/>
  <c r="A101"/>
  <c r="B101"/>
  <c r="C101"/>
  <c r="E101"/>
  <c r="F101"/>
  <c r="A102"/>
  <c r="B102"/>
  <c r="C102"/>
  <c r="E102"/>
  <c r="F102"/>
  <c r="A103"/>
  <c r="B103"/>
  <c r="C103"/>
  <c r="E103"/>
  <c r="F103"/>
  <c r="A104"/>
  <c r="B104"/>
  <c r="C104"/>
  <c r="E104"/>
  <c r="F104"/>
  <c r="A105"/>
  <c r="B105"/>
  <c r="C105"/>
  <c r="E105"/>
  <c r="F105"/>
  <c r="A106"/>
  <c r="B106"/>
  <c r="C106"/>
  <c r="E106"/>
  <c r="F106"/>
  <c r="A107"/>
  <c r="B107"/>
  <c r="C107"/>
  <c r="E107"/>
  <c r="F107"/>
  <c r="A108"/>
  <c r="B108"/>
  <c r="C108"/>
  <c r="E108"/>
  <c r="F108"/>
  <c r="A109"/>
  <c r="B109"/>
  <c r="C109"/>
  <c r="E109"/>
  <c r="F109"/>
  <c r="A110"/>
  <c r="B110"/>
  <c r="C110"/>
  <c r="E110"/>
  <c r="F110"/>
  <c r="A111"/>
  <c r="B111"/>
  <c r="C111"/>
  <c r="E111"/>
  <c r="F111"/>
  <c r="A112"/>
  <c r="B112"/>
  <c r="C112"/>
  <c r="E112"/>
  <c r="F112"/>
  <c r="A113"/>
  <c r="B113"/>
  <c r="C113"/>
  <c r="E113"/>
  <c r="F113"/>
  <c r="A114"/>
  <c r="B114"/>
  <c r="C114"/>
  <c r="E114"/>
  <c r="F114"/>
  <c r="A115"/>
  <c r="B115"/>
  <c r="C115"/>
  <c r="E115"/>
  <c r="F115"/>
  <c r="A116"/>
  <c r="B116"/>
  <c r="C116"/>
  <c r="E116"/>
  <c r="F116"/>
  <c r="A117"/>
  <c r="B117"/>
  <c r="C117"/>
  <c r="E117"/>
  <c r="F117"/>
  <c r="A118"/>
  <c r="B118"/>
  <c r="C118"/>
  <c r="E118"/>
  <c r="F118"/>
  <c r="A119"/>
  <c r="B119"/>
  <c r="C119"/>
  <c r="E119"/>
  <c r="F119"/>
  <c r="A120"/>
  <c r="B120"/>
  <c r="C120"/>
  <c r="E120"/>
  <c r="F120"/>
  <c r="A121"/>
  <c r="B121"/>
  <c r="C121"/>
  <c r="E121"/>
  <c r="F121"/>
  <c r="A122"/>
  <c r="B122"/>
  <c r="C122"/>
  <c r="E122"/>
  <c r="F122"/>
  <c r="A123"/>
  <c r="B123"/>
  <c r="C123"/>
  <c r="E123"/>
  <c r="F123"/>
  <c r="A124"/>
  <c r="B124"/>
  <c r="C124"/>
  <c r="E124"/>
  <c r="F124"/>
  <c r="A125"/>
  <c r="B125"/>
  <c r="C125"/>
  <c r="E125"/>
  <c r="F125"/>
  <c r="A126"/>
  <c r="B126"/>
  <c r="C126"/>
  <c r="E126"/>
  <c r="F126"/>
  <c r="A127"/>
  <c r="B127"/>
  <c r="C127"/>
  <c r="E127"/>
  <c r="F127"/>
  <c r="A128"/>
  <c r="B128"/>
  <c r="C128"/>
  <c r="E128"/>
  <c r="F128"/>
  <c r="A129"/>
  <c r="B129"/>
  <c r="C129"/>
  <c r="E129"/>
  <c r="F129"/>
  <c r="A130"/>
  <c r="B130"/>
  <c r="C130"/>
  <c r="E130"/>
  <c r="F130"/>
  <c r="A131"/>
  <c r="B131"/>
  <c r="C131"/>
  <c r="E131"/>
  <c r="F131"/>
  <c r="A132"/>
  <c r="B132"/>
  <c r="C132"/>
  <c r="E132"/>
  <c r="F132"/>
  <c r="A133"/>
  <c r="B133"/>
  <c r="C133"/>
  <c r="E133"/>
  <c r="F133"/>
  <c r="A134"/>
  <c r="B134"/>
  <c r="C134"/>
  <c r="E134"/>
  <c r="F134"/>
  <c r="A135"/>
  <c r="B135"/>
  <c r="C135"/>
  <c r="E135"/>
  <c r="F135"/>
  <c r="A136"/>
  <c r="B136"/>
  <c r="C136"/>
  <c r="E136"/>
  <c r="F136"/>
  <c r="A137"/>
  <c r="B137"/>
  <c r="C137"/>
  <c r="E137"/>
  <c r="F137"/>
  <c r="A138"/>
  <c r="B138"/>
  <c r="C138"/>
  <c r="E138"/>
  <c r="F138"/>
  <c r="A139"/>
  <c r="B139"/>
  <c r="C139"/>
  <c r="E139"/>
  <c r="F139"/>
  <c r="A140"/>
  <c r="B140"/>
  <c r="C140"/>
  <c r="E140"/>
  <c r="F140"/>
  <c r="A141"/>
  <c r="B141"/>
  <c r="C141"/>
  <c r="E141"/>
  <c r="F141"/>
  <c r="A142"/>
  <c r="B142"/>
  <c r="C142"/>
  <c r="E142"/>
  <c r="F142"/>
  <c r="A143"/>
  <c r="B143"/>
  <c r="C143"/>
  <c r="E143"/>
  <c r="F143"/>
  <c r="A144"/>
  <c r="B144"/>
  <c r="C144"/>
  <c r="E144"/>
  <c r="F144"/>
  <c r="A145"/>
  <c r="B145"/>
  <c r="C145"/>
  <c r="E145"/>
  <c r="F145"/>
  <c r="A146"/>
  <c r="B146"/>
  <c r="C146"/>
  <c r="E146"/>
  <c r="F146"/>
  <c r="A147"/>
  <c r="B147"/>
  <c r="C147"/>
  <c r="E147"/>
  <c r="F147"/>
  <c r="A148"/>
  <c r="B148"/>
  <c r="C148"/>
  <c r="E148"/>
  <c r="F148"/>
  <c r="A149"/>
  <c r="B149"/>
  <c r="C149"/>
  <c r="E149"/>
  <c r="F149"/>
  <c r="A150"/>
  <c r="B150"/>
  <c r="C150"/>
  <c r="E150"/>
  <c r="F150"/>
  <c r="A151"/>
  <c r="B151"/>
  <c r="C151"/>
  <c r="E151"/>
  <c r="F151"/>
  <c r="A152"/>
  <c r="B152"/>
  <c r="C152"/>
  <c r="E152"/>
  <c r="F152"/>
  <c r="A153"/>
  <c r="B153"/>
  <c r="C153"/>
  <c r="E153"/>
  <c r="F153"/>
  <c r="A154"/>
  <c r="B154"/>
  <c r="C154"/>
  <c r="E154"/>
  <c r="F154"/>
  <c r="A155"/>
  <c r="B155"/>
  <c r="C155"/>
  <c r="E155"/>
  <c r="F155"/>
  <c r="A156"/>
  <c r="B156"/>
  <c r="C156"/>
  <c r="E156"/>
  <c r="F156"/>
  <c r="A157"/>
  <c r="B157"/>
  <c r="C157"/>
  <c r="E157"/>
  <c r="F157"/>
  <c r="A158"/>
  <c r="B158"/>
  <c r="C158"/>
  <c r="E158"/>
  <c r="F158"/>
  <c r="A159"/>
  <c r="B159"/>
  <c r="C159"/>
  <c r="E159"/>
  <c r="F159"/>
  <c r="A160"/>
  <c r="B160"/>
  <c r="C160"/>
  <c r="E160"/>
  <c r="F160"/>
  <c r="A161"/>
  <c r="B161"/>
  <c r="C161"/>
  <c r="E161"/>
  <c r="F161"/>
  <c r="A162"/>
  <c r="B162"/>
  <c r="C162"/>
  <c r="E162"/>
  <c r="F162"/>
  <c r="A163"/>
  <c r="B163"/>
  <c r="C163"/>
  <c r="E163"/>
  <c r="F163"/>
  <c r="A164"/>
  <c r="B164"/>
  <c r="C164"/>
  <c r="E164"/>
  <c r="F164"/>
  <c r="A165"/>
  <c r="B165"/>
  <c r="C165"/>
  <c r="E165"/>
  <c r="F165"/>
  <c r="A166"/>
  <c r="B166"/>
  <c r="C166"/>
  <c r="E166"/>
  <c r="F166"/>
  <c r="A167"/>
  <c r="B167"/>
  <c r="C167"/>
  <c r="E167"/>
  <c r="F167"/>
  <c r="A168"/>
  <c r="B168"/>
  <c r="C168"/>
  <c r="E168"/>
  <c r="F168"/>
  <c r="A169"/>
  <c r="B169"/>
  <c r="C169"/>
  <c r="E169"/>
  <c r="F169"/>
  <c r="A170"/>
  <c r="B170"/>
  <c r="C170"/>
  <c r="E170"/>
  <c r="F170"/>
  <c r="A171"/>
  <c r="B171"/>
  <c r="C171"/>
  <c r="E171"/>
  <c r="F171"/>
  <c r="A172"/>
  <c r="B172"/>
  <c r="C172"/>
  <c r="E172"/>
  <c r="F172"/>
  <c r="A173"/>
  <c r="B173"/>
  <c r="C173"/>
  <c r="E173"/>
  <c r="F173"/>
  <c r="A174"/>
  <c r="B174"/>
  <c r="C174"/>
  <c r="E174"/>
  <c r="F174"/>
  <c r="A175"/>
  <c r="B175"/>
  <c r="C175"/>
  <c r="E175"/>
  <c r="F175"/>
  <c r="A1" i="6"/>
  <c r="B1"/>
  <c r="C1"/>
  <c r="D1"/>
  <c r="E1"/>
  <c r="F1"/>
  <c r="A2"/>
  <c r="B2"/>
  <c r="C2"/>
  <c r="E2"/>
  <c r="F2"/>
  <c r="A3"/>
  <c r="B3"/>
  <c r="C3"/>
  <c r="E3"/>
  <c r="F3"/>
  <c r="A4"/>
  <c r="B4"/>
  <c r="C4"/>
  <c r="E4"/>
  <c r="F4"/>
  <c r="A5"/>
  <c r="B5"/>
  <c r="C5"/>
  <c r="E5"/>
  <c r="F5"/>
  <c r="A6"/>
  <c r="B6"/>
  <c r="C6"/>
  <c r="E6"/>
  <c r="F6"/>
  <c r="A7"/>
  <c r="B7"/>
  <c r="C7"/>
  <c r="E7"/>
  <c r="F7"/>
  <c r="A8"/>
  <c r="B8"/>
  <c r="C8"/>
  <c r="E8"/>
  <c r="F8"/>
  <c r="A9"/>
  <c r="B9"/>
  <c r="C9"/>
  <c r="E9"/>
  <c r="F9"/>
  <c r="A10"/>
  <c r="B10"/>
  <c r="C10"/>
  <c r="E10"/>
  <c r="F10"/>
  <c r="A11"/>
  <c r="B11"/>
  <c r="C11"/>
  <c r="E11"/>
  <c r="F11"/>
  <c r="A12"/>
  <c r="B12"/>
  <c r="C12"/>
  <c r="E12"/>
  <c r="F12"/>
  <c r="A13"/>
  <c r="B13"/>
  <c r="C13"/>
  <c r="E13"/>
  <c r="F13"/>
  <c r="A14"/>
  <c r="B14"/>
  <c r="C14"/>
  <c r="E14"/>
  <c r="F14"/>
  <c r="A15"/>
  <c r="B15"/>
  <c r="C15"/>
  <c r="E15"/>
  <c r="F15"/>
  <c r="A16"/>
  <c r="B16"/>
  <c r="C16"/>
  <c r="E16"/>
  <c r="F16"/>
  <c r="A17"/>
  <c r="B17"/>
  <c r="C17"/>
  <c r="E17"/>
  <c r="F17"/>
  <c r="A18"/>
  <c r="B18"/>
  <c r="C18"/>
  <c r="E18"/>
  <c r="F18"/>
  <c r="A19"/>
  <c r="B19"/>
  <c r="C19"/>
  <c r="E19"/>
  <c r="F19"/>
  <c r="A20"/>
  <c r="B20"/>
  <c r="C20"/>
  <c r="E20"/>
  <c r="F20"/>
  <c r="A21"/>
  <c r="B21"/>
  <c r="C21"/>
  <c r="E21"/>
  <c r="F21"/>
  <c r="A22"/>
  <c r="B22"/>
  <c r="C22"/>
  <c r="E22"/>
  <c r="F22"/>
  <c r="A23"/>
  <c r="B23"/>
  <c r="C23"/>
  <c r="E23"/>
  <c r="F23"/>
  <c r="A24"/>
  <c r="B24"/>
  <c r="C24"/>
  <c r="E24"/>
  <c r="F24"/>
  <c r="A25"/>
  <c r="B25"/>
  <c r="C25"/>
  <c r="E25"/>
  <c r="F25"/>
  <c r="A26"/>
  <c r="B26"/>
  <c r="C26"/>
  <c r="E26"/>
  <c r="F26"/>
  <c r="A27"/>
  <c r="B27"/>
  <c r="C27"/>
  <c r="E27"/>
  <c r="F27"/>
  <c r="A28"/>
  <c r="B28"/>
  <c r="C28"/>
  <c r="E28"/>
  <c r="F28"/>
  <c r="A29"/>
  <c r="B29"/>
  <c r="C29"/>
  <c r="E29"/>
  <c r="F29"/>
  <c r="A30"/>
  <c r="B30"/>
  <c r="C30"/>
  <c r="E30"/>
  <c r="F30"/>
  <c r="A31"/>
  <c r="B31"/>
  <c r="C31"/>
  <c r="E31"/>
  <c r="F31"/>
  <c r="A32"/>
  <c r="B32"/>
  <c r="C32"/>
  <c r="E32"/>
  <c r="F32"/>
  <c r="A33"/>
  <c r="B33"/>
  <c r="C33"/>
  <c r="E33"/>
  <c r="F33"/>
  <c r="A34"/>
  <c r="B34"/>
  <c r="C34"/>
  <c r="E34"/>
  <c r="F34"/>
  <c r="A35"/>
  <c r="B35"/>
  <c r="C35"/>
  <c r="E35"/>
  <c r="F35"/>
  <c r="A36"/>
  <c r="B36"/>
  <c r="C36"/>
  <c r="E36"/>
  <c r="F36"/>
  <c r="A37"/>
  <c r="B37"/>
  <c r="C37"/>
  <c r="E37"/>
  <c r="F37"/>
  <c r="A38"/>
  <c r="B38"/>
  <c r="C38"/>
  <c r="E38"/>
  <c r="F38"/>
  <c r="A39"/>
  <c r="B39"/>
  <c r="C39"/>
  <c r="E39"/>
  <c r="F39"/>
  <c r="A40"/>
  <c r="B40"/>
  <c r="C40"/>
  <c r="E40"/>
  <c r="F40"/>
  <c r="A41"/>
  <c r="B41"/>
  <c r="C41"/>
  <c r="E41"/>
  <c r="F41"/>
  <c r="A42"/>
  <c r="B42"/>
  <c r="C42"/>
  <c r="E42"/>
  <c r="F42"/>
  <c r="A43"/>
  <c r="B43"/>
  <c r="C43"/>
  <c r="E43"/>
  <c r="F43"/>
  <c r="A44"/>
  <c r="B44"/>
  <c r="C44"/>
  <c r="E44"/>
  <c r="F44"/>
  <c r="A45"/>
  <c r="B45"/>
  <c r="C45"/>
  <c r="E45"/>
  <c r="F45"/>
  <c r="A46"/>
  <c r="B46"/>
  <c r="C46"/>
  <c r="E46"/>
  <c r="F46"/>
  <c r="A47"/>
  <c r="B47"/>
  <c r="C47"/>
  <c r="E47"/>
  <c r="F47"/>
  <c r="A48"/>
  <c r="B48"/>
  <c r="C48"/>
  <c r="E48"/>
  <c r="F48"/>
  <c r="A49"/>
  <c r="B49"/>
  <c r="C49"/>
  <c r="E49"/>
  <c r="F49"/>
  <c r="A50"/>
  <c r="B50"/>
  <c r="C50"/>
  <c r="E50"/>
  <c r="F50"/>
  <c r="A51"/>
  <c r="B51"/>
  <c r="C51"/>
  <c r="E51"/>
  <c r="F51"/>
  <c r="A52"/>
  <c r="B52"/>
  <c r="C52"/>
  <c r="E52"/>
  <c r="F52"/>
  <c r="A53"/>
  <c r="B53"/>
  <c r="C53"/>
  <c r="E53"/>
  <c r="F53"/>
  <c r="A54"/>
  <c r="B54"/>
  <c r="C54"/>
  <c r="E54"/>
  <c r="F54"/>
  <c r="A55"/>
  <c r="B55"/>
  <c r="C55"/>
  <c r="E55"/>
  <c r="F55"/>
  <c r="A56"/>
  <c r="B56"/>
  <c r="C56"/>
  <c r="E56"/>
  <c r="F56"/>
  <c r="A57"/>
  <c r="B57"/>
  <c r="C57"/>
  <c r="E57"/>
  <c r="F57"/>
  <c r="A58"/>
  <c r="B58"/>
  <c r="C58"/>
  <c r="E58"/>
  <c r="F58"/>
  <c r="A59"/>
  <c r="B59"/>
  <c r="C59"/>
  <c r="E59"/>
  <c r="F59"/>
  <c r="A60"/>
  <c r="B60"/>
  <c r="C60"/>
  <c r="E60"/>
  <c r="F60"/>
  <c r="A61"/>
  <c r="B61"/>
  <c r="C61"/>
  <c r="E61"/>
  <c r="F61"/>
  <c r="A62"/>
  <c r="B62"/>
  <c r="C62"/>
  <c r="E62"/>
  <c r="F62"/>
  <c r="A63"/>
  <c r="B63"/>
  <c r="C63"/>
  <c r="E63"/>
  <c r="F63"/>
  <c r="A64"/>
  <c r="B64"/>
  <c r="C64"/>
  <c r="E64"/>
  <c r="F64"/>
  <c r="A65"/>
  <c r="B65"/>
  <c r="C65"/>
  <c r="E65"/>
  <c r="F65"/>
  <c r="A66"/>
  <c r="B66"/>
  <c r="C66"/>
  <c r="E66"/>
  <c r="F66"/>
  <c r="A67"/>
  <c r="B67"/>
  <c r="C67"/>
  <c r="E67"/>
  <c r="F67"/>
  <c r="A68"/>
  <c r="B68"/>
  <c r="C68"/>
  <c r="E68"/>
  <c r="F68"/>
  <c r="A69"/>
  <c r="B69"/>
  <c r="C69"/>
  <c r="E69"/>
  <c r="F69"/>
  <c r="A70"/>
  <c r="B70"/>
  <c r="C70"/>
  <c r="E70"/>
  <c r="F70"/>
  <c r="A71"/>
  <c r="B71"/>
  <c r="C71"/>
  <c r="E71"/>
  <c r="F71"/>
  <c r="A72"/>
  <c r="B72"/>
  <c r="C72"/>
  <c r="E72"/>
  <c r="F72"/>
  <c r="A73"/>
  <c r="B73"/>
  <c r="C73"/>
  <c r="E73"/>
  <c r="F73"/>
  <c r="A74"/>
  <c r="B74"/>
  <c r="C74"/>
  <c r="E74"/>
  <c r="F74"/>
  <c r="A75"/>
  <c r="B75"/>
  <c r="C75"/>
  <c r="E75"/>
  <c r="F75"/>
  <c r="A76"/>
  <c r="B76"/>
  <c r="C76"/>
  <c r="E76"/>
  <c r="F76"/>
  <c r="A77"/>
  <c r="B77"/>
  <c r="C77"/>
  <c r="E77"/>
  <c r="F77"/>
  <c r="A78"/>
  <c r="B78"/>
  <c r="C78"/>
  <c r="E78"/>
  <c r="F78"/>
  <c r="A79"/>
  <c r="B79"/>
  <c r="C79"/>
  <c r="E79"/>
  <c r="F79"/>
  <c r="A80"/>
  <c r="B80"/>
  <c r="C80"/>
  <c r="E80"/>
  <c r="F80"/>
  <c r="A81"/>
  <c r="B81"/>
  <c r="C81"/>
  <c r="E81"/>
  <c r="F81"/>
  <c r="A82"/>
  <c r="B82"/>
  <c r="C82"/>
  <c r="E82"/>
  <c r="F82"/>
  <c r="A83"/>
  <c r="B83"/>
  <c r="C83"/>
  <c r="E83"/>
  <c r="F83"/>
  <c r="A84"/>
  <c r="B84"/>
  <c r="C84"/>
  <c r="E84"/>
  <c r="F84"/>
  <c r="A85"/>
  <c r="B85"/>
  <c r="C85"/>
  <c r="E85"/>
  <c r="F85"/>
  <c r="A86"/>
  <c r="B86"/>
  <c r="C86"/>
  <c r="E86"/>
  <c r="F86"/>
  <c r="A87"/>
  <c r="B87"/>
  <c r="C87"/>
  <c r="E87"/>
  <c r="F87"/>
  <c r="A88"/>
  <c r="B88"/>
  <c r="C88"/>
  <c r="E88"/>
  <c r="F88"/>
  <c r="A89"/>
  <c r="B89"/>
  <c r="C89"/>
  <c r="E89"/>
  <c r="F89"/>
  <c r="A90"/>
  <c r="B90"/>
  <c r="C90"/>
  <c r="E90"/>
  <c r="F90"/>
  <c r="A91"/>
  <c r="B91"/>
  <c r="C91"/>
  <c r="E91"/>
  <c r="F91"/>
  <c r="A92"/>
  <c r="B92"/>
  <c r="C92"/>
  <c r="E92"/>
  <c r="F92"/>
  <c r="A93"/>
  <c r="B93"/>
  <c r="C93"/>
  <c r="E93"/>
  <c r="F93"/>
  <c r="A94"/>
  <c r="B94"/>
  <c r="C94"/>
  <c r="E94"/>
  <c r="F94"/>
  <c r="A95"/>
  <c r="B95"/>
  <c r="C95"/>
  <c r="E95"/>
  <c r="F95"/>
  <c r="A96"/>
  <c r="B96"/>
  <c r="C96"/>
  <c r="E96"/>
  <c r="F96"/>
  <c r="A97"/>
  <c r="B97"/>
  <c r="C97"/>
  <c r="E97"/>
  <c r="F97"/>
  <c r="A98"/>
  <c r="B98"/>
  <c r="C98"/>
  <c r="E98"/>
  <c r="F98"/>
  <c r="A99"/>
  <c r="B99"/>
  <c r="C99"/>
  <c r="E99"/>
  <c r="F99"/>
  <c r="A100"/>
  <c r="B100"/>
  <c r="C100"/>
  <c r="E100"/>
  <c r="F100"/>
  <c r="A101"/>
  <c r="B101"/>
  <c r="C101"/>
  <c r="E101"/>
  <c r="F101"/>
  <c r="A102"/>
  <c r="B102"/>
  <c r="C102"/>
  <c r="E102"/>
  <c r="F102"/>
  <c r="A103"/>
  <c r="B103"/>
  <c r="C103"/>
  <c r="E103"/>
  <c r="F103"/>
  <c r="A104"/>
  <c r="B104"/>
  <c r="C104"/>
  <c r="E104"/>
  <c r="F104"/>
  <c r="A105"/>
  <c r="B105"/>
  <c r="C105"/>
  <c r="E105"/>
  <c r="F105"/>
  <c r="A106"/>
  <c r="B106"/>
  <c r="C106"/>
  <c r="E106"/>
  <c r="F106"/>
  <c r="A107"/>
  <c r="B107"/>
  <c r="C107"/>
  <c r="E107"/>
  <c r="F107"/>
  <c r="A108"/>
  <c r="B108"/>
  <c r="C108"/>
  <c r="E108"/>
  <c r="F108"/>
  <c r="A109"/>
  <c r="B109"/>
  <c r="C109"/>
  <c r="E109"/>
  <c r="F109"/>
  <c r="A110"/>
  <c r="B110"/>
  <c r="C110"/>
  <c r="E110"/>
  <c r="F110"/>
  <c r="A111"/>
  <c r="B111"/>
  <c r="C111"/>
  <c r="E111"/>
  <c r="F111"/>
  <c r="A112"/>
  <c r="B112"/>
  <c r="C112"/>
  <c r="E112"/>
  <c r="F112"/>
  <c r="A113"/>
  <c r="B113"/>
  <c r="C113"/>
  <c r="E113"/>
  <c r="F113"/>
  <c r="A114"/>
  <c r="B114"/>
  <c r="C114"/>
  <c r="E114"/>
  <c r="F114"/>
  <c r="A115"/>
  <c r="B115"/>
  <c r="C115"/>
  <c r="E115"/>
  <c r="F115"/>
  <c r="A116"/>
  <c r="B116"/>
  <c r="C116"/>
  <c r="E116"/>
  <c r="F116"/>
  <c r="A117"/>
  <c r="B117"/>
  <c r="C117"/>
  <c r="E117"/>
  <c r="F117"/>
  <c r="A118"/>
  <c r="B118"/>
  <c r="C118"/>
  <c r="E118"/>
  <c r="F118"/>
  <c r="A119"/>
  <c r="B119"/>
  <c r="C119"/>
  <c r="E119"/>
  <c r="F119"/>
  <c r="A120"/>
  <c r="B120"/>
  <c r="C120"/>
  <c r="E120"/>
  <c r="F120"/>
  <c r="A121"/>
  <c r="B121"/>
  <c r="C121"/>
  <c r="E121"/>
  <c r="F121"/>
  <c r="A122"/>
  <c r="B122"/>
  <c r="C122"/>
  <c r="E122"/>
  <c r="F122"/>
  <c r="A123"/>
  <c r="B123"/>
  <c r="C123"/>
  <c r="E123"/>
  <c r="F123"/>
  <c r="A124"/>
  <c r="B124"/>
  <c r="C124"/>
  <c r="E124"/>
  <c r="F124"/>
  <c r="A125"/>
  <c r="B125"/>
  <c r="C125"/>
  <c r="E125"/>
  <c r="F125"/>
  <c r="A126"/>
  <c r="B126"/>
  <c r="C126"/>
  <c r="E126"/>
  <c r="F126"/>
  <c r="A127"/>
  <c r="B127"/>
  <c r="C127"/>
  <c r="E127"/>
  <c r="F127"/>
  <c r="A128"/>
  <c r="B128"/>
  <c r="C128"/>
  <c r="E128"/>
  <c r="F128"/>
  <c r="A129"/>
  <c r="B129"/>
  <c r="C129"/>
  <c r="E129"/>
  <c r="F129"/>
  <c r="A130"/>
  <c r="B130"/>
  <c r="C130"/>
  <c r="E130"/>
  <c r="F130"/>
  <c r="A131"/>
  <c r="B131"/>
  <c r="C131"/>
  <c r="E131"/>
  <c r="F131"/>
  <c r="A132"/>
  <c r="B132"/>
  <c r="C132"/>
  <c r="E132"/>
  <c r="F132"/>
  <c r="A133"/>
  <c r="B133"/>
  <c r="C133"/>
  <c r="E133"/>
  <c r="F133"/>
  <c r="A134"/>
  <c r="B134"/>
  <c r="C134"/>
  <c r="E134"/>
  <c r="F134"/>
  <c r="A135"/>
  <c r="B135"/>
  <c r="C135"/>
  <c r="E135"/>
  <c r="F135"/>
  <c r="A136"/>
  <c r="B136"/>
  <c r="C136"/>
  <c r="E136"/>
  <c r="F136"/>
  <c r="A137"/>
  <c r="B137"/>
  <c r="C137"/>
  <c r="E137"/>
  <c r="F137"/>
  <c r="A138"/>
  <c r="B138"/>
  <c r="C138"/>
  <c r="E138"/>
  <c r="F138"/>
  <c r="A139"/>
  <c r="B139"/>
  <c r="C139"/>
  <c r="E139"/>
  <c r="F139"/>
  <c r="A140"/>
  <c r="B140"/>
  <c r="C140"/>
  <c r="E140"/>
  <c r="F140"/>
  <c r="A141"/>
  <c r="B141"/>
  <c r="C141"/>
  <c r="E141"/>
  <c r="F141"/>
  <c r="A142"/>
  <c r="B142"/>
  <c r="C142"/>
  <c r="E142"/>
  <c r="F142"/>
  <c r="A143"/>
  <c r="B143"/>
  <c r="C143"/>
  <c r="E143"/>
  <c r="F143"/>
  <c r="A144"/>
  <c r="B144"/>
  <c r="C144"/>
  <c r="E144"/>
  <c r="F144"/>
  <c r="A145"/>
  <c r="B145"/>
  <c r="C145"/>
  <c r="E145"/>
  <c r="F145"/>
  <c r="A146"/>
  <c r="B146"/>
  <c r="C146"/>
  <c r="E146"/>
  <c r="F146"/>
  <c r="A147"/>
  <c r="B147"/>
  <c r="C147"/>
  <c r="E147"/>
  <c r="F147"/>
  <c r="A148"/>
  <c r="B148"/>
  <c r="C148"/>
  <c r="E148"/>
  <c r="F148"/>
  <c r="A149"/>
  <c r="B149"/>
  <c r="C149"/>
  <c r="E149"/>
  <c r="F149"/>
  <c r="A150"/>
  <c r="B150"/>
  <c r="C150"/>
  <c r="E150"/>
  <c r="F150"/>
  <c r="A151"/>
  <c r="B151"/>
  <c r="C151"/>
  <c r="E151"/>
  <c r="F151"/>
  <c r="A152"/>
  <c r="B152"/>
  <c r="C152"/>
  <c r="E152"/>
  <c r="F152"/>
  <c r="A153"/>
  <c r="B153"/>
  <c r="C153"/>
  <c r="E153"/>
  <c r="F153"/>
  <c r="A154"/>
  <c r="B154"/>
  <c r="C154"/>
  <c r="E154"/>
  <c r="F154"/>
  <c r="A155"/>
  <c r="B155"/>
  <c r="C155"/>
  <c r="E155"/>
  <c r="F155"/>
  <c r="A156"/>
  <c r="B156"/>
  <c r="C156"/>
  <c r="E156"/>
  <c r="F156"/>
  <c r="A157"/>
  <c r="B157"/>
  <c r="C157"/>
  <c r="E157"/>
  <c r="F157"/>
  <c r="A158"/>
  <c r="B158"/>
  <c r="C158"/>
  <c r="E158"/>
  <c r="F158"/>
  <c r="A159"/>
  <c r="B159"/>
  <c r="C159"/>
  <c r="E159"/>
  <c r="F159"/>
  <c r="A160"/>
  <c r="B160"/>
  <c r="C160"/>
  <c r="E160"/>
  <c r="F160"/>
  <c r="A161"/>
  <c r="B161"/>
  <c r="C161"/>
  <c r="E161"/>
  <c r="F161"/>
  <c r="A162"/>
  <c r="B162"/>
  <c r="C162"/>
  <c r="E162"/>
  <c r="F162"/>
  <c r="A163"/>
  <c r="B163"/>
  <c r="C163"/>
  <c r="E163"/>
  <c r="F163"/>
  <c r="A164"/>
  <c r="B164"/>
  <c r="C164"/>
  <c r="E164"/>
  <c r="F164"/>
  <c r="A165"/>
  <c r="B165"/>
  <c r="C165"/>
  <c r="E165"/>
  <c r="F165"/>
  <c r="A166"/>
  <c r="B166"/>
  <c r="C166"/>
  <c r="E166"/>
  <c r="F166"/>
  <c r="A167"/>
  <c r="B167"/>
  <c r="C167"/>
  <c r="E167"/>
  <c r="F167"/>
  <c r="A168"/>
  <c r="B168"/>
  <c r="C168"/>
  <c r="E168"/>
  <c r="F168"/>
  <c r="A169"/>
  <c r="B169"/>
  <c r="C169"/>
  <c r="E169"/>
  <c r="F169"/>
  <c r="A170"/>
  <c r="B170"/>
  <c r="C170"/>
  <c r="E170"/>
  <c r="F170"/>
  <c r="A171"/>
  <c r="B171"/>
  <c r="C171"/>
  <c r="E171"/>
  <c r="F171"/>
  <c r="A172"/>
  <c r="B172"/>
  <c r="C172"/>
  <c r="E172"/>
  <c r="F172"/>
  <c r="A173"/>
  <c r="B173"/>
  <c r="C173"/>
  <c r="E173"/>
  <c r="F173"/>
  <c r="A174"/>
  <c r="B174"/>
  <c r="C174"/>
  <c r="E174"/>
  <c r="F174"/>
  <c r="A175"/>
  <c r="B175"/>
  <c r="C175"/>
  <c r="E175"/>
  <c r="F175"/>
  <c r="A176"/>
  <c r="B176"/>
  <c r="C176"/>
  <c r="E176"/>
  <c r="F176"/>
  <c r="A177"/>
  <c r="B177"/>
  <c r="C177"/>
  <c r="E177"/>
  <c r="F177"/>
  <c r="A178"/>
  <c r="B178"/>
  <c r="C178"/>
  <c r="E178"/>
  <c r="F178"/>
  <c r="A179"/>
  <c r="B179"/>
  <c r="C179"/>
  <c r="E179"/>
  <c r="F179"/>
  <c r="A180"/>
  <c r="B180"/>
  <c r="C180"/>
  <c r="E180"/>
  <c r="F180"/>
  <c r="A181"/>
  <c r="B181"/>
  <c r="C181"/>
  <c r="E181"/>
  <c r="F181"/>
  <c r="A182"/>
  <c r="B182"/>
  <c r="C182"/>
  <c r="E182"/>
  <c r="F182"/>
  <c r="A183"/>
  <c r="B183"/>
  <c r="C183"/>
  <c r="E183"/>
  <c r="F183"/>
  <c r="A184"/>
  <c r="B184"/>
  <c r="C184"/>
  <c r="E184"/>
  <c r="F184"/>
  <c r="A185"/>
  <c r="B185"/>
  <c r="C185"/>
  <c r="E185"/>
  <c r="F185"/>
  <c r="A186"/>
  <c r="B186"/>
  <c r="C186"/>
  <c r="E186"/>
  <c r="F186"/>
  <c r="A187"/>
  <c r="B187"/>
  <c r="C187"/>
  <c r="E187"/>
  <c r="F187"/>
  <c r="A188"/>
  <c r="B188"/>
  <c r="C188"/>
  <c r="E188"/>
  <c r="F188"/>
  <c r="A189"/>
  <c r="B189"/>
  <c r="C189"/>
  <c r="E189"/>
  <c r="F189"/>
  <c r="A190"/>
  <c r="B190"/>
  <c r="C190"/>
  <c r="E190"/>
  <c r="F190"/>
  <c r="A191"/>
  <c r="B191"/>
  <c r="C191"/>
  <c r="E191"/>
  <c r="F191"/>
  <c r="A192"/>
  <c r="B192"/>
  <c r="C192"/>
  <c r="E192"/>
  <c r="F192"/>
  <c r="A193"/>
  <c r="B193"/>
  <c r="C193"/>
  <c r="E193"/>
  <c r="F193"/>
  <c r="A194"/>
  <c r="B194"/>
  <c r="C194"/>
  <c r="E194"/>
  <c r="F194"/>
  <c r="A195"/>
  <c r="B195"/>
  <c r="C195"/>
  <c r="E195"/>
  <c r="F195"/>
  <c r="A196"/>
  <c r="B196"/>
  <c r="C196"/>
  <c r="E196"/>
  <c r="F196"/>
  <c r="A197"/>
  <c r="B197"/>
  <c r="C197"/>
  <c r="E197"/>
  <c r="F197"/>
  <c r="A198"/>
  <c r="B198"/>
  <c r="C198"/>
  <c r="E198"/>
  <c r="F198"/>
  <c r="A199"/>
  <c r="B199"/>
  <c r="C199"/>
  <c r="E199"/>
  <c r="F199"/>
  <c r="A200"/>
  <c r="B200"/>
  <c r="C200"/>
  <c r="E200"/>
  <c r="F200"/>
  <c r="A201"/>
  <c r="B201"/>
  <c r="C201"/>
  <c r="E201"/>
  <c r="F201"/>
  <c r="A202"/>
  <c r="B202"/>
  <c r="C202"/>
  <c r="E202"/>
  <c r="F202"/>
  <c r="A203"/>
  <c r="B203"/>
  <c r="C203"/>
  <c r="E203"/>
  <c r="F203"/>
  <c r="A204"/>
  <c r="B204"/>
  <c r="C204"/>
  <c r="E204"/>
  <c r="F204"/>
  <c r="A205"/>
  <c r="B205"/>
  <c r="C205"/>
  <c r="E205"/>
  <c r="F205"/>
  <c r="A206"/>
  <c r="B206"/>
  <c r="C206"/>
  <c r="E206"/>
  <c r="F206"/>
  <c r="A207"/>
  <c r="B207"/>
  <c r="C207"/>
  <c r="E207"/>
  <c r="F207"/>
  <c r="A208"/>
  <c r="B208"/>
  <c r="C208"/>
  <c r="E208"/>
  <c r="F208"/>
  <c r="A209"/>
  <c r="B209"/>
  <c r="C209"/>
  <c r="E209"/>
  <c r="F209"/>
  <c r="A210"/>
  <c r="B210"/>
  <c r="C210"/>
  <c r="E210"/>
  <c r="F210"/>
  <c r="A211"/>
  <c r="B211"/>
  <c r="C211"/>
  <c r="E211"/>
  <c r="F211"/>
  <c r="A212"/>
  <c r="B212"/>
  <c r="C212"/>
  <c r="E212"/>
  <c r="F212"/>
  <c r="A213"/>
  <c r="B213"/>
  <c r="C213"/>
  <c r="E213"/>
  <c r="F213"/>
  <c r="A214"/>
  <c r="B214"/>
  <c r="C214"/>
  <c r="E214"/>
  <c r="F214"/>
  <c r="A215"/>
  <c r="B215"/>
  <c r="C215"/>
  <c r="E215"/>
  <c r="F215"/>
  <c r="A216"/>
  <c r="B216"/>
  <c r="C216"/>
  <c r="E216"/>
  <c r="F216"/>
  <c r="A217"/>
  <c r="B217"/>
  <c r="C217"/>
  <c r="E217"/>
  <c r="F217"/>
  <c r="A218"/>
  <c r="B218"/>
  <c r="C218"/>
  <c r="E218"/>
  <c r="F218"/>
  <c r="A219"/>
  <c r="B219"/>
  <c r="C219"/>
  <c r="E219"/>
  <c r="F219"/>
  <c r="A220"/>
  <c r="B220"/>
  <c r="C220"/>
  <c r="E220"/>
  <c r="F220"/>
  <c r="A221"/>
  <c r="B221"/>
  <c r="C221"/>
  <c r="E221"/>
  <c r="F221"/>
  <c r="A222"/>
  <c r="B222"/>
  <c r="C222"/>
  <c r="E222"/>
  <c r="F222"/>
  <c r="A223"/>
  <c r="B223"/>
  <c r="C223"/>
  <c r="E223"/>
  <c r="F223"/>
  <c r="A224"/>
  <c r="B224"/>
  <c r="C224"/>
  <c r="E224"/>
  <c r="F224"/>
  <c r="A225"/>
  <c r="B225"/>
  <c r="C225"/>
  <c r="E225"/>
  <c r="F225"/>
  <c r="A226"/>
  <c r="B226"/>
  <c r="C226"/>
  <c r="E226"/>
  <c r="F226"/>
  <c r="A227"/>
  <c r="B227"/>
  <c r="C227"/>
  <c r="E227"/>
  <c r="F227"/>
  <c r="A228"/>
  <c r="B228"/>
  <c r="C228"/>
  <c r="E228"/>
  <c r="F228"/>
  <c r="A229"/>
  <c r="B229"/>
  <c r="C229"/>
  <c r="E229"/>
  <c r="F229"/>
  <c r="A230"/>
  <c r="B230"/>
  <c r="C230"/>
  <c r="E230"/>
  <c r="F230"/>
  <c r="A231"/>
  <c r="B231"/>
  <c r="C231"/>
  <c r="E231"/>
  <c r="F231"/>
  <c r="A232"/>
  <c r="B232"/>
  <c r="C232"/>
  <c r="E232"/>
  <c r="F232"/>
  <c r="A233"/>
  <c r="B233"/>
  <c r="C233"/>
  <c r="E233"/>
  <c r="F233"/>
  <c r="A234"/>
  <c r="B234"/>
  <c r="C234"/>
  <c r="E234"/>
  <c r="F234"/>
  <c r="A235"/>
  <c r="B235"/>
  <c r="C235"/>
  <c r="E235"/>
  <c r="F235"/>
  <c r="A236"/>
  <c r="B236"/>
  <c r="C236"/>
  <c r="E236"/>
  <c r="F236"/>
  <c r="A237"/>
  <c r="B237"/>
  <c r="C237"/>
  <c r="E237"/>
  <c r="F237"/>
  <c r="A238"/>
  <c r="B238"/>
  <c r="C238"/>
  <c r="E238"/>
  <c r="F238"/>
  <c r="A239"/>
  <c r="B239"/>
  <c r="C239"/>
  <c r="E239"/>
  <c r="F239"/>
  <c r="A240"/>
  <c r="B240"/>
  <c r="C240"/>
  <c r="E240"/>
  <c r="F240"/>
  <c r="A241"/>
  <c r="B241"/>
  <c r="C241"/>
  <c r="E241"/>
  <c r="F241"/>
  <c r="A242"/>
  <c r="B242"/>
  <c r="C242"/>
  <c r="E242"/>
  <c r="F242"/>
  <c r="A243"/>
  <c r="B243"/>
  <c r="C243"/>
  <c r="E243"/>
  <c r="F243"/>
  <c r="A244"/>
  <c r="B244"/>
  <c r="C244"/>
  <c r="E244"/>
  <c r="F244"/>
  <c r="A245"/>
  <c r="B245"/>
  <c r="C245"/>
  <c r="E245"/>
  <c r="F245"/>
  <c r="A246"/>
  <c r="B246"/>
  <c r="C246"/>
  <c r="E246"/>
  <c r="F246"/>
  <c r="A247"/>
  <c r="B247"/>
  <c r="C247"/>
  <c r="E247"/>
  <c r="F247"/>
  <c r="A248"/>
  <c r="B248"/>
  <c r="C248"/>
  <c r="E248"/>
  <c r="F248"/>
  <c r="A249"/>
  <c r="B249"/>
  <c r="C249"/>
  <c r="E249"/>
  <c r="F249"/>
  <c r="A250"/>
  <c r="B250"/>
  <c r="C250"/>
  <c r="E250"/>
  <c r="F250"/>
  <c r="A251"/>
  <c r="B251"/>
  <c r="C251"/>
  <c r="E251"/>
  <c r="F251"/>
  <c r="A252"/>
  <c r="B252"/>
  <c r="C252"/>
  <c r="E252"/>
  <c r="F252"/>
  <c r="A253"/>
  <c r="B253"/>
  <c r="C253"/>
  <c r="E253"/>
  <c r="F253"/>
  <c r="A254"/>
  <c r="B254"/>
  <c r="C254"/>
  <c r="E254"/>
  <c r="F254"/>
  <c r="A255"/>
  <c r="B255"/>
  <c r="C255"/>
  <c r="E255"/>
  <c r="F255"/>
  <c r="A256"/>
  <c r="B256"/>
  <c r="C256"/>
  <c r="E256"/>
  <c r="F256"/>
  <c r="A257"/>
  <c r="B257"/>
  <c r="C257"/>
  <c r="E257"/>
  <c r="F257"/>
  <c r="A258"/>
  <c r="B258"/>
  <c r="C258"/>
  <c r="E258"/>
  <c r="F258"/>
  <c r="A259"/>
  <c r="B259"/>
  <c r="C259"/>
  <c r="E259"/>
  <c r="F259"/>
  <c r="A260"/>
  <c r="B260"/>
  <c r="C260"/>
  <c r="E260"/>
  <c r="F260"/>
  <c r="A261"/>
  <c r="B261"/>
  <c r="C261"/>
  <c r="E261"/>
  <c r="F261"/>
  <c r="A262"/>
  <c r="B262"/>
  <c r="C262"/>
  <c r="E262"/>
  <c r="F262"/>
  <c r="A263"/>
  <c r="B263"/>
  <c r="C263"/>
  <c r="E263"/>
  <c r="F263"/>
  <c r="A264"/>
  <c r="B264"/>
  <c r="C264"/>
  <c r="E264"/>
  <c r="F264"/>
  <c r="A265"/>
  <c r="B265"/>
  <c r="C265"/>
  <c r="E265"/>
  <c r="F265"/>
  <c r="A266"/>
  <c r="B266"/>
  <c r="C266"/>
  <c r="E266"/>
  <c r="F266"/>
  <c r="A267"/>
  <c r="B267"/>
  <c r="C267"/>
  <c r="E267"/>
  <c r="F267"/>
  <c r="A268"/>
  <c r="B268"/>
  <c r="C268"/>
  <c r="E268"/>
  <c r="F268"/>
  <c r="A269"/>
  <c r="B269"/>
  <c r="C269"/>
  <c r="E269"/>
  <c r="F269"/>
  <c r="A270"/>
  <c r="B270"/>
  <c r="C270"/>
  <c r="E270"/>
  <c r="F270"/>
  <c r="A271"/>
  <c r="B271"/>
  <c r="C271"/>
  <c r="E271"/>
  <c r="F271"/>
  <c r="A272"/>
  <c r="B272"/>
  <c r="C272"/>
  <c r="E272"/>
  <c r="F272"/>
  <c r="A273"/>
  <c r="B273"/>
  <c r="C273"/>
  <c r="E273"/>
  <c r="F273"/>
  <c r="A274"/>
  <c r="B274"/>
  <c r="C274"/>
  <c r="E274"/>
  <c r="F274"/>
  <c r="A275"/>
  <c r="B275"/>
  <c r="C275"/>
  <c r="E275"/>
  <c r="F275"/>
  <c r="A276"/>
  <c r="B276"/>
  <c r="C276"/>
  <c r="E276"/>
  <c r="F276"/>
  <c r="A277"/>
  <c r="B277"/>
  <c r="C277"/>
  <c r="E277"/>
  <c r="F277"/>
  <c r="A278"/>
  <c r="B278"/>
  <c r="C278"/>
  <c r="E278"/>
  <c r="F278"/>
  <c r="A279"/>
  <c r="B279"/>
  <c r="C279"/>
  <c r="E279"/>
  <c r="F279"/>
  <c r="A280"/>
  <c r="B280"/>
  <c r="C280"/>
  <c r="E280"/>
  <c r="F280"/>
  <c r="A281"/>
  <c r="B281"/>
  <c r="C281"/>
  <c r="E281"/>
  <c r="F281"/>
  <c r="A282"/>
  <c r="B282"/>
  <c r="C282"/>
  <c r="E282"/>
  <c r="F282"/>
  <c r="A283"/>
  <c r="B283"/>
  <c r="C283"/>
  <c r="E283"/>
  <c r="F283"/>
  <c r="A284"/>
  <c r="B284"/>
  <c r="C284"/>
  <c r="E284"/>
  <c r="F284"/>
  <c r="A285"/>
  <c r="B285"/>
  <c r="C285"/>
  <c r="E285"/>
  <c r="F285"/>
  <c r="A286"/>
  <c r="B286"/>
  <c r="C286"/>
  <c r="E286"/>
  <c r="F286"/>
  <c r="A287"/>
  <c r="B287"/>
  <c r="C287"/>
  <c r="E287"/>
  <c r="F287"/>
  <c r="A288"/>
  <c r="B288"/>
  <c r="C288"/>
  <c r="E288"/>
  <c r="F288"/>
  <c r="A289"/>
  <c r="B289"/>
  <c r="C289"/>
  <c r="E289"/>
  <c r="F289"/>
  <c r="A290"/>
  <c r="B290"/>
  <c r="C290"/>
  <c r="E290"/>
  <c r="F290"/>
  <c r="A291"/>
  <c r="B291"/>
  <c r="C291"/>
  <c r="E291"/>
  <c r="F291"/>
  <c r="A292"/>
  <c r="B292"/>
  <c r="C292"/>
  <c r="E292"/>
  <c r="F292"/>
  <c r="A293"/>
  <c r="B293"/>
  <c r="C293"/>
  <c r="E293"/>
  <c r="F293"/>
  <c r="A294"/>
  <c r="B294"/>
  <c r="C294"/>
  <c r="E294"/>
  <c r="F294"/>
  <c r="A295"/>
  <c r="B295"/>
  <c r="C295"/>
  <c r="E295"/>
  <c r="F295"/>
  <c r="A296"/>
  <c r="B296"/>
  <c r="C296"/>
  <c r="E296"/>
  <c r="F296"/>
  <c r="A297"/>
  <c r="B297"/>
  <c r="C297"/>
  <c r="E297"/>
  <c r="F297"/>
  <c r="A298"/>
  <c r="B298"/>
  <c r="C298"/>
  <c r="E298"/>
  <c r="F298"/>
  <c r="A299"/>
  <c r="B299"/>
  <c r="C299"/>
  <c r="E299"/>
  <c r="F299"/>
  <c r="A300"/>
  <c r="B300"/>
  <c r="C300"/>
  <c r="E300"/>
  <c r="F300"/>
  <c r="A301"/>
  <c r="B301"/>
  <c r="C301"/>
  <c r="E301"/>
  <c r="F301"/>
  <c r="A302"/>
  <c r="B302"/>
  <c r="C302"/>
  <c r="E302"/>
  <c r="F302"/>
  <c r="A303"/>
  <c r="B303"/>
  <c r="C303"/>
  <c r="E303"/>
  <c r="F303"/>
  <c r="A304"/>
  <c r="B304"/>
  <c r="C304"/>
  <c r="E304"/>
  <c r="F304"/>
  <c r="A305"/>
  <c r="B305"/>
  <c r="C305"/>
  <c r="E305"/>
  <c r="F305"/>
  <c r="A306"/>
  <c r="B306"/>
  <c r="C306"/>
  <c r="E306"/>
  <c r="F306"/>
  <c r="A307"/>
  <c r="B307"/>
  <c r="C307"/>
  <c r="E307"/>
  <c r="F307"/>
  <c r="A308"/>
  <c r="B308"/>
  <c r="C308"/>
  <c r="E308"/>
  <c r="F308"/>
  <c r="A309"/>
  <c r="B309"/>
  <c r="C309"/>
  <c r="E309"/>
  <c r="F309"/>
  <c r="A310"/>
  <c r="B310"/>
  <c r="C310"/>
  <c r="E310"/>
  <c r="F310"/>
  <c r="A311"/>
  <c r="B311"/>
  <c r="C311"/>
  <c r="E311"/>
  <c r="F311"/>
  <c r="A312"/>
  <c r="B312"/>
  <c r="C312"/>
  <c r="E312"/>
  <c r="F312"/>
  <c r="A313"/>
  <c r="B313"/>
  <c r="C313"/>
  <c r="E313"/>
  <c r="F313"/>
  <c r="A314"/>
  <c r="B314"/>
  <c r="C314"/>
  <c r="E314"/>
  <c r="F314"/>
  <c r="A315"/>
  <c r="B315"/>
  <c r="C315"/>
  <c r="E315"/>
  <c r="F315"/>
  <c r="A316"/>
  <c r="B316"/>
  <c r="C316"/>
  <c r="E316"/>
  <c r="F316"/>
  <c r="A317"/>
  <c r="B317"/>
  <c r="C317"/>
  <c r="E317"/>
  <c r="F317"/>
  <c r="A318"/>
  <c r="B318"/>
  <c r="C318"/>
  <c r="E318"/>
  <c r="F318"/>
  <c r="A319"/>
  <c r="B319"/>
  <c r="C319"/>
  <c r="E319"/>
  <c r="F319"/>
  <c r="A320"/>
  <c r="B320"/>
  <c r="C320"/>
  <c r="E320"/>
  <c r="F320"/>
  <c r="A321"/>
  <c r="B321"/>
  <c r="C321"/>
  <c r="E321"/>
  <c r="F321"/>
  <c r="A322"/>
  <c r="B322"/>
  <c r="C322"/>
  <c r="E322"/>
  <c r="F322"/>
  <c r="A323"/>
  <c r="B323"/>
  <c r="C323"/>
  <c r="E323"/>
  <c r="F323"/>
  <c r="A324"/>
  <c r="B324"/>
  <c r="C324"/>
  <c r="E324"/>
  <c r="F324"/>
  <c r="A325"/>
  <c r="B325"/>
  <c r="C325"/>
  <c r="E325"/>
  <c r="F325"/>
  <c r="A326"/>
  <c r="B326"/>
  <c r="C326"/>
  <c r="E326"/>
  <c r="F326"/>
  <c r="A1" i="5"/>
  <c r="B1"/>
  <c r="C1"/>
  <c r="D1"/>
  <c r="E1"/>
  <c r="F1"/>
  <c r="A2"/>
  <c r="B2"/>
  <c r="C2"/>
  <c r="E2"/>
  <c r="F2"/>
  <c r="A3"/>
  <c r="B3"/>
  <c r="C3"/>
  <c r="E3"/>
  <c r="F3"/>
  <c r="A4"/>
  <c r="B4"/>
  <c r="C4"/>
  <c r="E4"/>
  <c r="F4"/>
  <c r="A5"/>
  <c r="B5"/>
  <c r="C5"/>
  <c r="E5"/>
  <c r="F5"/>
  <c r="A6"/>
  <c r="B6"/>
  <c r="C6"/>
  <c r="E6"/>
  <c r="F6"/>
  <c r="A7"/>
  <c r="B7"/>
  <c r="C7"/>
  <c r="E7"/>
  <c r="F7"/>
  <c r="A8"/>
  <c r="B8"/>
  <c r="C8"/>
  <c r="E8"/>
  <c r="F8"/>
  <c r="A9"/>
  <c r="B9"/>
  <c r="C9"/>
  <c r="E9"/>
  <c r="F9"/>
  <c r="A10"/>
  <c r="B10"/>
  <c r="C10"/>
  <c r="E10"/>
  <c r="F10"/>
  <c r="A11"/>
  <c r="B11"/>
  <c r="C11"/>
  <c r="E11"/>
  <c r="F11"/>
  <c r="A12"/>
  <c r="B12"/>
  <c r="C12"/>
  <c r="E12"/>
  <c r="F12"/>
  <c r="A13"/>
  <c r="B13"/>
  <c r="C13"/>
  <c r="E13"/>
  <c r="F13"/>
  <c r="A14"/>
  <c r="B14"/>
  <c r="C14"/>
  <c r="E14"/>
  <c r="F14"/>
  <c r="A15"/>
  <c r="B15"/>
  <c r="C15"/>
  <c r="E15"/>
  <c r="F15"/>
  <c r="A16"/>
  <c r="B16"/>
  <c r="C16"/>
  <c r="E16"/>
  <c r="F16"/>
  <c r="A17"/>
  <c r="B17"/>
  <c r="C17"/>
  <c r="E17"/>
  <c r="F17"/>
  <c r="A18"/>
  <c r="B18"/>
  <c r="C18"/>
  <c r="E18"/>
  <c r="F18"/>
  <c r="A19"/>
  <c r="B19"/>
  <c r="C19"/>
  <c r="E19"/>
  <c r="F19"/>
  <c r="A20"/>
  <c r="B20"/>
  <c r="C20"/>
  <c r="E20"/>
  <c r="F20"/>
  <c r="A21"/>
  <c r="B21"/>
  <c r="C21"/>
  <c r="E21"/>
  <c r="F21"/>
  <c r="A22"/>
  <c r="B22"/>
  <c r="C22"/>
  <c r="E22"/>
  <c r="F22"/>
  <c r="A23"/>
  <c r="B23"/>
  <c r="C23"/>
  <c r="E23"/>
  <c r="F23"/>
  <c r="A24"/>
  <c r="B24"/>
  <c r="C24"/>
  <c r="E24"/>
  <c r="F24"/>
  <c r="A25"/>
  <c r="B25"/>
  <c r="C25"/>
  <c r="E25"/>
  <c r="F25"/>
  <c r="A26"/>
  <c r="B26"/>
  <c r="C26"/>
  <c r="E26"/>
  <c r="F26"/>
  <c r="A27"/>
  <c r="B27"/>
  <c r="C27"/>
  <c r="E27"/>
  <c r="F27"/>
  <c r="A28"/>
  <c r="B28"/>
  <c r="C28"/>
  <c r="E28"/>
  <c r="F28"/>
  <c r="A29"/>
  <c r="B29"/>
  <c r="C29"/>
  <c r="E29"/>
  <c r="F29"/>
  <c r="A30"/>
  <c r="B30"/>
  <c r="C30"/>
  <c r="E30"/>
  <c r="F30"/>
  <c r="A31"/>
  <c r="B31"/>
  <c r="C31"/>
  <c r="E31"/>
  <c r="F31"/>
  <c r="A32"/>
  <c r="B32"/>
  <c r="C32"/>
  <c r="E32"/>
  <c r="F32"/>
  <c r="A33"/>
  <c r="B33"/>
  <c r="C33"/>
  <c r="E33"/>
  <c r="F33"/>
  <c r="A34"/>
  <c r="B34"/>
  <c r="C34"/>
  <c r="E34"/>
  <c r="F34"/>
  <c r="A35"/>
  <c r="B35"/>
  <c r="C35"/>
  <c r="E35"/>
  <c r="F35"/>
  <c r="A36"/>
  <c r="B36"/>
  <c r="C36"/>
  <c r="E36"/>
  <c r="F36"/>
  <c r="A37"/>
  <c r="B37"/>
  <c r="C37"/>
  <c r="E37"/>
  <c r="F37"/>
  <c r="A38"/>
  <c r="B38"/>
  <c r="C38"/>
  <c r="E38"/>
  <c r="F38"/>
  <c r="A39"/>
  <c r="B39"/>
  <c r="C39"/>
  <c r="E39"/>
  <c r="F39"/>
  <c r="A40"/>
  <c r="B40"/>
  <c r="C40"/>
  <c r="E40"/>
  <c r="F40"/>
  <c r="A41"/>
  <c r="B41"/>
  <c r="C41"/>
  <c r="E41"/>
  <c r="F41"/>
  <c r="A42"/>
  <c r="B42"/>
  <c r="C42"/>
  <c r="E42"/>
  <c r="F42"/>
  <c r="A43"/>
  <c r="B43"/>
  <c r="C43"/>
  <c r="E43"/>
  <c r="F43"/>
  <c r="A44"/>
  <c r="B44"/>
  <c r="C44"/>
  <c r="E44"/>
  <c r="F44"/>
  <c r="A45"/>
  <c r="B45"/>
  <c r="C45"/>
  <c r="E45"/>
  <c r="F45"/>
  <c r="A46"/>
  <c r="B46"/>
  <c r="C46"/>
  <c r="E46"/>
  <c r="F46"/>
  <c r="A47"/>
  <c r="B47"/>
  <c r="C47"/>
  <c r="E47"/>
  <c r="F47"/>
  <c r="A48"/>
  <c r="B48"/>
  <c r="C48"/>
  <c r="E48"/>
  <c r="F48"/>
  <c r="A49"/>
  <c r="B49"/>
  <c r="C49"/>
  <c r="E49"/>
  <c r="F49"/>
  <c r="A50"/>
  <c r="B50"/>
  <c r="C50"/>
  <c r="E50"/>
  <c r="F50"/>
  <c r="A51"/>
  <c r="B51"/>
  <c r="C51"/>
  <c r="E51"/>
  <c r="F51"/>
  <c r="A52"/>
  <c r="B52"/>
  <c r="C52"/>
  <c r="E52"/>
  <c r="F52"/>
  <c r="A53"/>
  <c r="B53"/>
  <c r="C53"/>
  <c r="E53"/>
  <c r="F53"/>
  <c r="A54"/>
  <c r="B54"/>
  <c r="C54"/>
  <c r="E54"/>
  <c r="F54"/>
  <c r="A55"/>
  <c r="B55"/>
  <c r="C55"/>
  <c r="E55"/>
  <c r="F55"/>
  <c r="A56"/>
  <c r="B56"/>
  <c r="C56"/>
  <c r="E56"/>
  <c r="F56"/>
  <c r="A57"/>
  <c r="B57"/>
  <c r="C57"/>
  <c r="E57"/>
  <c r="F57"/>
  <c r="A58"/>
  <c r="B58"/>
  <c r="C58"/>
  <c r="E58"/>
  <c r="F58"/>
  <c r="A59"/>
  <c r="B59"/>
  <c r="C59"/>
  <c r="E59"/>
  <c r="F59"/>
  <c r="A60"/>
  <c r="B60"/>
  <c r="C60"/>
  <c r="E60"/>
  <c r="F60"/>
  <c r="A61"/>
  <c r="B61"/>
  <c r="C61"/>
  <c r="E61"/>
  <c r="F61"/>
  <c r="A62"/>
  <c r="B62"/>
  <c r="C62"/>
  <c r="E62"/>
  <c r="F62"/>
  <c r="A63"/>
  <c r="B63"/>
  <c r="C63"/>
  <c r="E63"/>
  <c r="F63"/>
  <c r="A64"/>
  <c r="B64"/>
  <c r="C64"/>
  <c r="E64"/>
  <c r="F64"/>
  <c r="A65"/>
  <c r="B65"/>
  <c r="C65"/>
  <c r="E65"/>
  <c r="F65"/>
  <c r="A66"/>
  <c r="B66"/>
  <c r="C66"/>
  <c r="E66"/>
  <c r="F66"/>
  <c r="A67"/>
  <c r="B67"/>
  <c r="C67"/>
  <c r="E67"/>
  <c r="F67"/>
  <c r="A68"/>
  <c r="B68"/>
  <c r="C68"/>
  <c r="E68"/>
  <c r="F68"/>
  <c r="A69"/>
  <c r="B69"/>
  <c r="C69"/>
  <c r="E69"/>
  <c r="F69"/>
  <c r="A70"/>
  <c r="B70"/>
  <c r="C70"/>
  <c r="E70"/>
  <c r="F70"/>
  <c r="A71"/>
  <c r="B71"/>
  <c r="C71"/>
  <c r="E71"/>
  <c r="F71"/>
  <c r="A72"/>
  <c r="B72"/>
  <c r="C72"/>
  <c r="E72"/>
  <c r="F72"/>
  <c r="A73"/>
  <c r="B73"/>
  <c r="C73"/>
  <c r="E73"/>
  <c r="F73"/>
  <c r="A74"/>
  <c r="B74"/>
  <c r="C74"/>
  <c r="E74"/>
  <c r="F74"/>
  <c r="A75"/>
  <c r="B75"/>
  <c r="C75"/>
  <c r="E75"/>
  <c r="F75"/>
  <c r="A76"/>
  <c r="B76"/>
  <c r="C76"/>
  <c r="E76"/>
  <c r="F76"/>
  <c r="A77"/>
  <c r="B77"/>
  <c r="C77"/>
  <c r="E77"/>
  <c r="F77"/>
  <c r="A78"/>
  <c r="B78"/>
  <c r="C78"/>
  <c r="E78"/>
  <c r="F78"/>
  <c r="A79"/>
  <c r="B79"/>
  <c r="C79"/>
  <c r="E79"/>
  <c r="F79"/>
  <c r="A80"/>
  <c r="B80"/>
  <c r="C80"/>
  <c r="E80"/>
  <c r="F80"/>
  <c r="A81"/>
  <c r="B81"/>
  <c r="C81"/>
  <c r="E81"/>
  <c r="F81"/>
  <c r="A82"/>
  <c r="B82"/>
  <c r="C82"/>
  <c r="E82"/>
  <c r="F82"/>
  <c r="A83"/>
  <c r="B83"/>
  <c r="C83"/>
  <c r="E83"/>
  <c r="F83"/>
  <c r="A84"/>
  <c r="B84"/>
  <c r="C84"/>
  <c r="E84"/>
  <c r="F84"/>
  <c r="A85"/>
  <c r="B85"/>
  <c r="C85"/>
  <c r="E85"/>
  <c r="F85"/>
  <c r="A86"/>
  <c r="B86"/>
  <c r="C86"/>
  <c r="E86"/>
  <c r="F86"/>
  <c r="A87"/>
  <c r="B87"/>
  <c r="C87"/>
  <c r="E87"/>
  <c r="F87"/>
  <c r="A88"/>
  <c r="B88"/>
  <c r="C88"/>
  <c r="E88"/>
  <c r="F88"/>
  <c r="A89"/>
  <c r="B89"/>
  <c r="C89"/>
  <c r="E89"/>
  <c r="F89"/>
  <c r="A90"/>
  <c r="B90"/>
  <c r="C90"/>
  <c r="E90"/>
  <c r="F90"/>
  <c r="A91"/>
  <c r="B91"/>
  <c r="C91"/>
  <c r="E91"/>
  <c r="F91"/>
  <c r="A92"/>
  <c r="B92"/>
  <c r="C92"/>
  <c r="E92"/>
  <c r="F92"/>
  <c r="A93"/>
  <c r="B93"/>
  <c r="C93"/>
  <c r="E93"/>
  <c r="F93"/>
  <c r="A94"/>
  <c r="B94"/>
  <c r="C94"/>
  <c r="E94"/>
  <c r="F94"/>
  <c r="A95"/>
  <c r="B95"/>
  <c r="C95"/>
  <c r="E95"/>
  <c r="F95"/>
  <c r="A96"/>
  <c r="B96"/>
  <c r="C96"/>
  <c r="E96"/>
  <c r="F96"/>
  <c r="A97"/>
  <c r="B97"/>
  <c r="C97"/>
  <c r="E97"/>
  <c r="F97"/>
  <c r="A98"/>
  <c r="B98"/>
  <c r="C98"/>
  <c r="E98"/>
  <c r="F98"/>
  <c r="A99"/>
  <c r="B99"/>
  <c r="C99"/>
  <c r="E99"/>
  <c r="F99"/>
  <c r="A100"/>
  <c r="B100"/>
  <c r="C100"/>
  <c r="E100"/>
  <c r="F100"/>
  <c r="A101"/>
  <c r="B101"/>
  <c r="C101"/>
  <c r="E101"/>
  <c r="F101"/>
  <c r="A102"/>
  <c r="B102"/>
  <c r="C102"/>
  <c r="E102"/>
  <c r="F102"/>
  <c r="A103"/>
  <c r="B103"/>
  <c r="C103"/>
  <c r="E103"/>
  <c r="F103"/>
  <c r="A104"/>
  <c r="B104"/>
  <c r="C104"/>
  <c r="E104"/>
  <c r="F104"/>
  <c r="A105"/>
  <c r="B105"/>
  <c r="C105"/>
  <c r="E105"/>
  <c r="F105"/>
  <c r="A106"/>
  <c r="B106"/>
  <c r="C106"/>
  <c r="E106"/>
  <c r="F106"/>
  <c r="A107"/>
  <c r="B107"/>
  <c r="C107"/>
  <c r="E107"/>
  <c r="F107"/>
  <c r="A108"/>
  <c r="B108"/>
  <c r="C108"/>
  <c r="E108"/>
  <c r="F108"/>
  <c r="A109"/>
  <c r="B109"/>
  <c r="C109"/>
  <c r="E109"/>
  <c r="F109"/>
  <c r="A110"/>
  <c r="B110"/>
  <c r="C110"/>
  <c r="E110"/>
  <c r="F110"/>
  <c r="A111"/>
  <c r="B111"/>
  <c r="C111"/>
  <c r="E111"/>
  <c r="F111"/>
  <c r="A112"/>
  <c r="B112"/>
  <c r="C112"/>
  <c r="E112"/>
  <c r="F112"/>
  <c r="A113"/>
  <c r="B113"/>
  <c r="C113"/>
  <c r="E113"/>
  <c r="F113"/>
  <c r="A114"/>
  <c r="B114"/>
  <c r="C114"/>
  <c r="E114"/>
  <c r="F114"/>
  <c r="A115"/>
  <c r="B115"/>
  <c r="C115"/>
  <c r="E115"/>
  <c r="F115"/>
  <c r="A116"/>
  <c r="B116"/>
  <c r="C116"/>
  <c r="E116"/>
  <c r="F116"/>
  <c r="A117"/>
  <c r="B117"/>
  <c r="C117"/>
  <c r="E117"/>
  <c r="F117"/>
  <c r="A118"/>
  <c r="B118"/>
  <c r="C118"/>
  <c r="E118"/>
  <c r="F118"/>
  <c r="A119"/>
  <c r="B119"/>
  <c r="C119"/>
  <c r="E119"/>
  <c r="F119"/>
  <c r="A120"/>
  <c r="B120"/>
  <c r="C120"/>
  <c r="E120"/>
  <c r="F120"/>
  <c r="A121"/>
  <c r="B121"/>
  <c r="C121"/>
  <c r="E121"/>
  <c r="F121"/>
  <c r="A122"/>
  <c r="B122"/>
  <c r="C122"/>
  <c r="E122"/>
  <c r="F122"/>
  <c r="A123"/>
  <c r="B123"/>
  <c r="C123"/>
  <c r="E123"/>
  <c r="F123"/>
  <c r="A124"/>
  <c r="B124"/>
  <c r="C124"/>
  <c r="E124"/>
  <c r="F124"/>
  <c r="A125"/>
  <c r="B125"/>
  <c r="C125"/>
  <c r="E125"/>
  <c r="F125"/>
  <c r="A126"/>
  <c r="B126"/>
  <c r="C126"/>
  <c r="E126"/>
  <c r="F126"/>
  <c r="A127"/>
  <c r="B127"/>
  <c r="C127"/>
  <c r="E127"/>
  <c r="F127"/>
  <c r="A128"/>
  <c r="B128"/>
  <c r="C128"/>
  <c r="E128"/>
  <c r="F128"/>
  <c r="A129"/>
  <c r="B129"/>
  <c r="C129"/>
  <c r="E129"/>
  <c r="F129"/>
  <c r="A130"/>
  <c r="B130"/>
  <c r="C130"/>
  <c r="E130"/>
  <c r="F130"/>
  <c r="A131"/>
  <c r="B131"/>
  <c r="C131"/>
  <c r="E131"/>
  <c r="F131"/>
  <c r="A132"/>
  <c r="B132"/>
  <c r="C132"/>
  <c r="E132"/>
  <c r="F132"/>
  <c r="A133"/>
  <c r="B133"/>
  <c r="C133"/>
  <c r="E133"/>
  <c r="F133"/>
  <c r="A134"/>
  <c r="B134"/>
  <c r="C134"/>
  <c r="E134"/>
  <c r="F134"/>
  <c r="A135"/>
  <c r="B135"/>
  <c r="C135"/>
  <c r="E135"/>
  <c r="F135"/>
  <c r="A136"/>
  <c r="B136"/>
  <c r="C136"/>
  <c r="E136"/>
  <c r="F136"/>
  <c r="A137"/>
  <c r="B137"/>
  <c r="C137"/>
  <c r="E137"/>
  <c r="F137"/>
  <c r="A138"/>
  <c r="B138"/>
  <c r="C138"/>
  <c r="E138"/>
  <c r="F138"/>
  <c r="A139"/>
  <c r="B139"/>
  <c r="C139"/>
  <c r="E139"/>
  <c r="F139"/>
  <c r="A140"/>
  <c r="B140"/>
  <c r="C140"/>
  <c r="E140"/>
  <c r="F140"/>
  <c r="A141"/>
  <c r="B141"/>
  <c r="C141"/>
  <c r="E141"/>
  <c r="F141"/>
  <c r="A142"/>
  <c r="B142"/>
  <c r="C142"/>
  <c r="E142"/>
  <c r="F142"/>
  <c r="A143"/>
  <c r="B143"/>
  <c r="C143"/>
  <c r="E143"/>
  <c r="F143"/>
  <c r="A144"/>
  <c r="B144"/>
  <c r="C144"/>
  <c r="E144"/>
  <c r="F144"/>
  <c r="A145"/>
  <c r="B145"/>
  <c r="C145"/>
  <c r="E145"/>
  <c r="F145"/>
  <c r="A146"/>
  <c r="B146"/>
  <c r="C146"/>
  <c r="E146"/>
  <c r="F146"/>
  <c r="A147"/>
  <c r="B147"/>
  <c r="C147"/>
  <c r="E147"/>
  <c r="F147"/>
  <c r="A148"/>
  <c r="B148"/>
  <c r="C148"/>
  <c r="E148"/>
  <c r="F148"/>
  <c r="A149"/>
  <c r="B149"/>
  <c r="C149"/>
  <c r="E149"/>
  <c r="F149"/>
  <c r="A150"/>
  <c r="B150"/>
  <c r="C150"/>
  <c r="E150"/>
  <c r="F150"/>
  <c r="A151"/>
  <c r="B151"/>
  <c r="C151"/>
  <c r="E151"/>
  <c r="F151"/>
  <c r="A152"/>
  <c r="B152"/>
  <c r="C152"/>
  <c r="E152"/>
  <c r="F152"/>
  <c r="A153"/>
  <c r="B153"/>
  <c r="C153"/>
  <c r="E153"/>
  <c r="F153"/>
  <c r="A154"/>
  <c r="B154"/>
  <c r="C154"/>
  <c r="E154"/>
  <c r="F154"/>
  <c r="A155"/>
  <c r="B155"/>
  <c r="C155"/>
  <c r="E155"/>
  <c r="F155"/>
  <c r="A156"/>
  <c r="B156"/>
  <c r="C156"/>
  <c r="E156"/>
  <c r="F156"/>
  <c r="A157"/>
  <c r="B157"/>
  <c r="C157"/>
  <c r="E157"/>
  <c r="F157"/>
  <c r="A158"/>
  <c r="B158"/>
  <c r="C158"/>
  <c r="E158"/>
  <c r="F158"/>
  <c r="A159"/>
  <c r="B159"/>
  <c r="C159"/>
  <c r="E159"/>
  <c r="F159"/>
  <c r="A160"/>
  <c r="B160"/>
  <c r="C160"/>
  <c r="E160"/>
  <c r="F160"/>
  <c r="A161"/>
  <c r="B161"/>
  <c r="C161"/>
  <c r="E161"/>
  <c r="F161"/>
  <c r="A162"/>
  <c r="B162"/>
  <c r="C162"/>
  <c r="E162"/>
  <c r="F162"/>
  <c r="A163"/>
  <c r="B163"/>
  <c r="C163"/>
  <c r="E163"/>
  <c r="F163"/>
  <c r="A164"/>
  <c r="B164"/>
  <c r="C164"/>
  <c r="E164"/>
  <c r="F164"/>
  <c r="A165"/>
  <c r="B165"/>
  <c r="C165"/>
  <c r="E165"/>
  <c r="F165"/>
  <c r="A166"/>
  <c r="B166"/>
  <c r="C166"/>
  <c r="E166"/>
  <c r="F166"/>
  <c r="A167"/>
  <c r="B167"/>
  <c r="C167"/>
  <c r="E167"/>
  <c r="F167"/>
  <c r="A168"/>
  <c r="B168"/>
  <c r="C168"/>
  <c r="E168"/>
  <c r="F168"/>
  <c r="A169"/>
  <c r="B169"/>
  <c r="C169"/>
  <c r="E169"/>
  <c r="F169"/>
  <c r="A170"/>
  <c r="B170"/>
  <c r="C170"/>
  <c r="E170"/>
  <c r="F170"/>
  <c r="A171"/>
  <c r="B171"/>
  <c r="C171"/>
  <c r="E171"/>
  <c r="F171"/>
  <c r="A172"/>
  <c r="B172"/>
  <c r="C172"/>
  <c r="E172"/>
  <c r="F172"/>
  <c r="A173"/>
  <c r="B173"/>
  <c r="C173"/>
  <c r="E173"/>
  <c r="F173"/>
  <c r="A174"/>
  <c r="B174"/>
  <c r="C174"/>
  <c r="E174"/>
  <c r="F174"/>
  <c r="A175"/>
  <c r="B175"/>
  <c r="C175"/>
  <c r="E175"/>
  <c r="F175"/>
  <c r="A176"/>
  <c r="B176"/>
  <c r="C176"/>
  <c r="E176"/>
  <c r="F176"/>
  <c r="A177"/>
  <c r="B177"/>
  <c r="C177"/>
  <c r="E177"/>
  <c r="F177"/>
  <c r="A178"/>
  <c r="B178"/>
  <c r="C178"/>
  <c r="E178"/>
  <c r="F178"/>
  <c r="A179"/>
  <c r="B179"/>
  <c r="C179"/>
  <c r="E179"/>
  <c r="F179"/>
  <c r="A180"/>
  <c r="B180"/>
  <c r="C180"/>
  <c r="E180"/>
  <c r="F180"/>
  <c r="A181"/>
  <c r="B181"/>
  <c r="C181"/>
  <c r="E181"/>
  <c r="F181"/>
  <c r="A182"/>
  <c r="B182"/>
  <c r="C182"/>
  <c r="E182"/>
  <c r="F182"/>
  <c r="A183"/>
  <c r="B183"/>
  <c r="C183"/>
  <c r="E183"/>
  <c r="F183"/>
  <c r="A184"/>
  <c r="B184"/>
  <c r="C184"/>
  <c r="E184"/>
  <c r="F184"/>
  <c r="A185"/>
  <c r="B185"/>
  <c r="C185"/>
  <c r="E185"/>
  <c r="F185"/>
  <c r="A186"/>
  <c r="B186"/>
  <c r="C186"/>
  <c r="E186"/>
  <c r="F186"/>
  <c r="A187"/>
  <c r="B187"/>
  <c r="C187"/>
  <c r="E187"/>
  <c r="F187"/>
  <c r="A188"/>
  <c r="B188"/>
  <c r="C188"/>
  <c r="E188"/>
  <c r="F188"/>
  <c r="A189"/>
  <c r="B189"/>
  <c r="C189"/>
  <c r="E189"/>
  <c r="F189"/>
  <c r="A190"/>
  <c r="B190"/>
  <c r="C190"/>
  <c r="E190"/>
  <c r="F190"/>
  <c r="A191"/>
  <c r="B191"/>
  <c r="C191"/>
  <c r="E191"/>
  <c r="F191"/>
  <c r="A192"/>
  <c r="B192"/>
  <c r="C192"/>
  <c r="E192"/>
  <c r="F192"/>
  <c r="A193"/>
  <c r="B193"/>
  <c r="C193"/>
  <c r="E193"/>
  <c r="F193"/>
  <c r="A194"/>
  <c r="B194"/>
  <c r="C194"/>
  <c r="E194"/>
  <c r="F194"/>
  <c r="A195"/>
  <c r="B195"/>
  <c r="C195"/>
  <c r="E195"/>
  <c r="F195"/>
  <c r="A196"/>
  <c r="B196"/>
  <c r="C196"/>
  <c r="E196"/>
  <c r="F196"/>
  <c r="A197"/>
  <c r="B197"/>
  <c r="C197"/>
  <c r="E197"/>
  <c r="F197"/>
  <c r="A198"/>
  <c r="B198"/>
  <c r="C198"/>
  <c r="E198"/>
  <c r="F198"/>
  <c r="A199"/>
  <c r="B199"/>
  <c r="C199"/>
  <c r="E199"/>
  <c r="F199"/>
  <c r="A200"/>
  <c r="B200"/>
  <c r="C200"/>
  <c r="E200"/>
  <c r="F200"/>
  <c r="A201"/>
  <c r="B201"/>
  <c r="C201"/>
  <c r="E201"/>
  <c r="F201"/>
  <c r="A202"/>
  <c r="B202"/>
  <c r="C202"/>
  <c r="E202"/>
  <c r="F202"/>
  <c r="A203"/>
  <c r="B203"/>
  <c r="C203"/>
  <c r="E203"/>
  <c r="F203"/>
  <c r="A204"/>
  <c r="B204"/>
  <c r="C204"/>
  <c r="E204"/>
  <c r="F204"/>
  <c r="A205"/>
  <c r="B205"/>
  <c r="C205"/>
  <c r="E205"/>
  <c r="F205"/>
  <c r="A206"/>
  <c r="B206"/>
  <c r="C206"/>
  <c r="E206"/>
  <c r="F206"/>
  <c r="A207"/>
  <c r="B207"/>
  <c r="C207"/>
  <c r="E207"/>
  <c r="F207"/>
  <c r="A208"/>
  <c r="B208"/>
  <c r="C208"/>
  <c r="E208"/>
  <c r="F208"/>
  <c r="A209"/>
  <c r="B209"/>
  <c r="C209"/>
  <c r="E209"/>
  <c r="F209"/>
  <c r="A210"/>
  <c r="B210"/>
  <c r="C210"/>
  <c r="E210"/>
  <c r="F210"/>
  <c r="A211"/>
  <c r="B211"/>
  <c r="C211"/>
  <c r="E211"/>
  <c r="F211"/>
  <c r="A212"/>
  <c r="B212"/>
  <c r="C212"/>
  <c r="E212"/>
  <c r="F212"/>
  <c r="A213"/>
  <c r="B213"/>
  <c r="C213"/>
  <c r="E213"/>
  <c r="F213"/>
  <c r="A214"/>
  <c r="B214"/>
  <c r="C214"/>
  <c r="E214"/>
  <c r="F214"/>
  <c r="A215"/>
  <c r="B215"/>
  <c r="C215"/>
  <c r="E215"/>
  <c r="F215"/>
  <c r="A216"/>
  <c r="B216"/>
  <c r="C216"/>
  <c r="E216"/>
  <c r="F216"/>
  <c r="A217"/>
  <c r="B217"/>
  <c r="C217"/>
  <c r="E217"/>
  <c r="F217"/>
  <c r="A218"/>
  <c r="B218"/>
  <c r="C218"/>
  <c r="E218"/>
  <c r="F218"/>
  <c r="A219"/>
  <c r="B219"/>
  <c r="C219"/>
  <c r="E219"/>
  <c r="F219"/>
  <c r="A220"/>
  <c r="B220"/>
  <c r="C220"/>
  <c r="E220"/>
  <c r="F220"/>
  <c r="A221"/>
  <c r="B221"/>
  <c r="C221"/>
  <c r="E221"/>
  <c r="F221"/>
  <c r="A222"/>
  <c r="B222"/>
  <c r="C222"/>
  <c r="E222"/>
  <c r="F222"/>
  <c r="A223"/>
  <c r="B223"/>
  <c r="C223"/>
  <c r="E223"/>
  <c r="F223"/>
  <c r="A224"/>
  <c r="B224"/>
  <c r="C224"/>
  <c r="E224"/>
  <c r="F224"/>
  <c r="A225"/>
  <c r="B225"/>
  <c r="C225"/>
  <c r="E225"/>
  <c r="F225"/>
  <c r="A226"/>
  <c r="B226"/>
  <c r="C226"/>
  <c r="E226"/>
  <c r="F226"/>
  <c r="A227"/>
  <c r="B227"/>
  <c r="C227"/>
  <c r="E227"/>
  <c r="F227"/>
  <c r="A228"/>
  <c r="B228"/>
  <c r="C228"/>
  <c r="E228"/>
  <c r="F228"/>
  <c r="A229"/>
  <c r="B229"/>
  <c r="C229"/>
  <c r="E229"/>
  <c r="F229"/>
  <c r="A230"/>
  <c r="B230"/>
  <c r="C230"/>
  <c r="E230"/>
  <c r="F230"/>
  <c r="A231"/>
  <c r="B231"/>
  <c r="C231"/>
  <c r="E231"/>
  <c r="F231"/>
  <c r="A232"/>
  <c r="B232"/>
  <c r="C232"/>
  <c r="E232"/>
  <c r="F232"/>
  <c r="A233"/>
  <c r="B233"/>
  <c r="C233"/>
  <c r="E233"/>
  <c r="F233"/>
  <c r="A234"/>
  <c r="B234"/>
  <c r="C234"/>
  <c r="E234"/>
  <c r="F234"/>
  <c r="A235"/>
  <c r="B235"/>
  <c r="C235"/>
  <c r="E235"/>
  <c r="F235"/>
  <c r="A236"/>
  <c r="B236"/>
  <c r="C236"/>
  <c r="E236"/>
  <c r="F236"/>
  <c r="A237"/>
  <c r="B237"/>
  <c r="C237"/>
  <c r="E237"/>
  <c r="F237"/>
  <c r="A238"/>
  <c r="B238"/>
  <c r="C238"/>
  <c r="E238"/>
  <c r="F238"/>
  <c r="A239"/>
  <c r="B239"/>
  <c r="C239"/>
  <c r="E239"/>
  <c r="F239"/>
  <c r="A240"/>
  <c r="B240"/>
  <c r="C240"/>
  <c r="E240"/>
  <c r="F240"/>
  <c r="A241"/>
  <c r="B241"/>
  <c r="C241"/>
  <c r="E241"/>
  <c r="F241"/>
  <c r="A242"/>
  <c r="B242"/>
  <c r="C242"/>
  <c r="E242"/>
  <c r="F242"/>
  <c r="A243"/>
  <c r="B243"/>
  <c r="C243"/>
  <c r="E243"/>
  <c r="F243"/>
  <c r="A244"/>
  <c r="B244"/>
  <c r="C244"/>
  <c r="E244"/>
  <c r="F244"/>
  <c r="A245"/>
  <c r="B245"/>
  <c r="C245"/>
  <c r="E245"/>
  <c r="F245"/>
  <c r="A246"/>
  <c r="B246"/>
  <c r="C246"/>
  <c r="E246"/>
  <c r="F246"/>
  <c r="A247"/>
  <c r="B247"/>
  <c r="C247"/>
  <c r="E247"/>
  <c r="F247"/>
  <c r="A248"/>
  <c r="B248"/>
  <c r="C248"/>
  <c r="E248"/>
  <c r="F248"/>
  <c r="A249"/>
  <c r="B249"/>
  <c r="C249"/>
  <c r="E249"/>
  <c r="F249"/>
  <c r="A250"/>
  <c r="B250"/>
  <c r="C250"/>
  <c r="E250"/>
  <c r="F250"/>
  <c r="A251"/>
  <c r="B251"/>
  <c r="C251"/>
  <c r="E251"/>
  <c r="F251"/>
  <c r="A252"/>
  <c r="B252"/>
  <c r="C252"/>
  <c r="E252"/>
  <c r="F252"/>
  <c r="A253"/>
  <c r="B253"/>
  <c r="C253"/>
  <c r="E253"/>
  <c r="F253"/>
  <c r="A254"/>
  <c r="B254"/>
  <c r="C254"/>
  <c r="E254"/>
  <c r="F254"/>
  <c r="A255"/>
  <c r="B255"/>
  <c r="C255"/>
  <c r="E255"/>
  <c r="F255"/>
  <c r="A256"/>
  <c r="B256"/>
  <c r="C256"/>
  <c r="E256"/>
  <c r="F256"/>
  <c r="A257"/>
  <c r="B257"/>
  <c r="C257"/>
  <c r="E257"/>
  <c r="F257"/>
  <c r="A258"/>
  <c r="B258"/>
  <c r="C258"/>
  <c r="E258"/>
  <c r="F258"/>
  <c r="A259"/>
  <c r="B259"/>
  <c r="C259"/>
  <c r="E259"/>
  <c r="F259"/>
  <c r="A260"/>
  <c r="B260"/>
  <c r="C260"/>
  <c r="E260"/>
  <c r="F260"/>
  <c r="A261"/>
  <c r="B261"/>
  <c r="C261"/>
  <c r="E261"/>
  <c r="F261"/>
  <c r="A262"/>
  <c r="B262"/>
  <c r="C262"/>
  <c r="E262"/>
  <c r="F262"/>
  <c r="A263"/>
  <c r="B263"/>
  <c r="C263"/>
  <c r="E263"/>
  <c r="F263"/>
  <c r="A264"/>
  <c r="B264"/>
  <c r="C264"/>
  <c r="E264"/>
  <c r="F264"/>
  <c r="A265"/>
  <c r="B265"/>
  <c r="C265"/>
  <c r="E265"/>
  <c r="F265"/>
  <c r="A266"/>
  <c r="B266"/>
  <c r="C266"/>
  <c r="E266"/>
  <c r="F266"/>
  <c r="A267"/>
  <c r="B267"/>
  <c r="C267"/>
  <c r="E267"/>
  <c r="F267"/>
  <c r="A268"/>
  <c r="B268"/>
  <c r="C268"/>
  <c r="E268"/>
  <c r="F268"/>
  <c r="A269"/>
  <c r="B269"/>
  <c r="C269"/>
  <c r="E269"/>
  <c r="F269"/>
  <c r="A270"/>
  <c r="B270"/>
  <c r="C270"/>
  <c r="E270"/>
  <c r="F270"/>
  <c r="A271"/>
  <c r="B271"/>
  <c r="C271"/>
  <c r="E271"/>
  <c r="F271"/>
  <c r="A272"/>
  <c r="B272"/>
  <c r="C272"/>
  <c r="E272"/>
  <c r="F272"/>
  <c r="A273"/>
  <c r="B273"/>
  <c r="C273"/>
  <c r="E273"/>
  <c r="F273"/>
  <c r="A274"/>
  <c r="B274"/>
  <c r="C274"/>
  <c r="E274"/>
  <c r="F274"/>
  <c r="A275"/>
  <c r="B275"/>
  <c r="C275"/>
  <c r="E275"/>
  <c r="F275"/>
  <c r="A276"/>
  <c r="B276"/>
  <c r="C276"/>
  <c r="E276"/>
  <c r="F276"/>
  <c r="A277"/>
  <c r="B277"/>
  <c r="C277"/>
  <c r="E277"/>
  <c r="F277"/>
  <c r="A278"/>
  <c r="B278"/>
  <c r="C278"/>
  <c r="E278"/>
  <c r="F278"/>
  <c r="A279"/>
  <c r="B279"/>
  <c r="C279"/>
  <c r="E279"/>
  <c r="F279"/>
  <c r="A280"/>
  <c r="B280"/>
  <c r="C280"/>
  <c r="E280"/>
  <c r="F280"/>
  <c r="A281"/>
  <c r="B281"/>
  <c r="C281"/>
  <c r="E281"/>
  <c r="F281"/>
  <c r="A282"/>
  <c r="B282"/>
  <c r="C282"/>
  <c r="E282"/>
  <c r="F282"/>
  <c r="A283"/>
  <c r="B283"/>
  <c r="C283"/>
  <c r="E283"/>
  <c r="F283"/>
  <c r="A284"/>
  <c r="B284"/>
  <c r="C284"/>
  <c r="E284"/>
  <c r="F284"/>
  <c r="A285"/>
  <c r="B285"/>
  <c r="C285"/>
  <c r="E285"/>
  <c r="F285"/>
  <c r="A286"/>
  <c r="B286"/>
  <c r="C286"/>
  <c r="E286"/>
  <c r="F286"/>
  <c r="A287"/>
  <c r="B287"/>
  <c r="C287"/>
  <c r="E287"/>
  <c r="F287"/>
  <c r="A288"/>
  <c r="B288"/>
  <c r="C288"/>
  <c r="E288"/>
  <c r="F288"/>
  <c r="A289"/>
  <c r="B289"/>
  <c r="C289"/>
  <c r="E289"/>
  <c r="F289"/>
  <c r="A290"/>
  <c r="B290"/>
  <c r="C290"/>
  <c r="E290"/>
  <c r="F290"/>
  <c r="A291"/>
  <c r="B291"/>
  <c r="C291"/>
  <c r="E291"/>
  <c r="F291"/>
  <c r="A292"/>
  <c r="B292"/>
  <c r="C292"/>
  <c r="E292"/>
  <c r="F292"/>
  <c r="A293"/>
  <c r="B293"/>
  <c r="C293"/>
  <c r="E293"/>
  <c r="F293"/>
  <c r="A294"/>
  <c r="B294"/>
  <c r="C294"/>
  <c r="E294"/>
  <c r="F294"/>
  <c r="A295"/>
  <c r="B295"/>
  <c r="C295"/>
  <c r="E295"/>
  <c r="F295"/>
  <c r="A296"/>
  <c r="B296"/>
  <c r="C296"/>
  <c r="E296"/>
  <c r="F296"/>
  <c r="A297"/>
  <c r="B297"/>
  <c r="C297"/>
  <c r="E297"/>
  <c r="F297"/>
  <c r="A298"/>
  <c r="B298"/>
  <c r="C298"/>
  <c r="E298"/>
  <c r="F298"/>
  <c r="A299"/>
  <c r="B299"/>
  <c r="C299"/>
  <c r="E299"/>
  <c r="F299"/>
  <c r="A300"/>
  <c r="B300"/>
  <c r="C300"/>
  <c r="E300"/>
  <c r="F300"/>
  <c r="A301"/>
  <c r="B301"/>
  <c r="C301"/>
  <c r="E301"/>
  <c r="F301"/>
  <c r="A302"/>
  <c r="B302"/>
  <c r="C302"/>
  <c r="E302"/>
  <c r="F302"/>
  <c r="A303"/>
  <c r="B303"/>
  <c r="C303"/>
  <c r="E303"/>
  <c r="F303"/>
  <c r="A304"/>
  <c r="B304"/>
  <c r="C304"/>
  <c r="E304"/>
  <c r="F304"/>
  <c r="A305"/>
  <c r="B305"/>
  <c r="C305"/>
  <c r="E305"/>
  <c r="F305"/>
  <c r="A306"/>
  <c r="B306"/>
  <c r="C306"/>
  <c r="E306"/>
  <c r="F306"/>
  <c r="A307"/>
  <c r="B307"/>
  <c r="C307"/>
  <c r="E307"/>
  <c r="F307"/>
  <c r="A308"/>
  <c r="B308"/>
  <c r="C308"/>
  <c r="E308"/>
  <c r="F308"/>
  <c r="A309"/>
  <c r="B309"/>
  <c r="C309"/>
  <c r="E309"/>
  <c r="F309"/>
  <c r="A310"/>
  <c r="B310"/>
  <c r="C310"/>
  <c r="E310"/>
  <c r="F310"/>
  <c r="A311"/>
  <c r="B311"/>
  <c r="C311"/>
  <c r="E311"/>
  <c r="F311"/>
  <c r="A312"/>
  <c r="B312"/>
  <c r="C312"/>
  <c r="E312"/>
  <c r="F312"/>
  <c r="A313"/>
  <c r="B313"/>
  <c r="C313"/>
  <c r="E313"/>
  <c r="F313"/>
  <c r="A314"/>
  <c r="B314"/>
  <c r="C314"/>
  <c r="E314"/>
  <c r="F314"/>
  <c r="A315"/>
  <c r="B315"/>
  <c r="C315"/>
  <c r="E315"/>
  <c r="F315"/>
  <c r="A316"/>
  <c r="B316"/>
  <c r="C316"/>
  <c r="E316"/>
  <c r="F316"/>
  <c r="A317"/>
  <c r="B317"/>
  <c r="C317"/>
  <c r="E317"/>
  <c r="F317"/>
  <c r="A318"/>
  <c r="B318"/>
  <c r="C318"/>
  <c r="E318"/>
  <c r="F318"/>
  <c r="A319"/>
  <c r="B319"/>
  <c r="C319"/>
  <c r="E319"/>
  <c r="F319"/>
  <c r="A320"/>
  <c r="B320"/>
  <c r="C320"/>
  <c r="E320"/>
  <c r="F320"/>
  <c r="A321"/>
  <c r="B321"/>
  <c r="C321"/>
  <c r="E321"/>
  <c r="F321"/>
  <c r="A322"/>
  <c r="B322"/>
  <c r="C322"/>
  <c r="E322"/>
  <c r="F322"/>
  <c r="A323"/>
  <c r="B323"/>
  <c r="C323"/>
  <c r="E323"/>
  <c r="F323"/>
  <c r="A324"/>
  <c r="B324"/>
  <c r="C324"/>
  <c r="E324"/>
  <c r="F324"/>
  <c r="A325"/>
  <c r="B325"/>
  <c r="C325"/>
  <c r="E325"/>
  <c r="F325"/>
  <c r="A326"/>
  <c r="B326"/>
  <c r="C326"/>
  <c r="E326"/>
  <c r="F326"/>
  <c r="A327"/>
  <c r="B327"/>
  <c r="C327"/>
  <c r="E327"/>
  <c r="F327"/>
  <c r="A328"/>
  <c r="B328"/>
  <c r="C328"/>
  <c r="E328"/>
  <c r="F328"/>
  <c r="A329"/>
  <c r="B329"/>
  <c r="C329"/>
  <c r="E329"/>
  <c r="F329"/>
  <c r="A330"/>
  <c r="B330"/>
  <c r="C330"/>
  <c r="E330"/>
  <c r="F330"/>
  <c r="A331"/>
  <c r="B331"/>
  <c r="C331"/>
  <c r="E331"/>
  <c r="F331"/>
  <c r="A332"/>
  <c r="B332"/>
  <c r="C332"/>
  <c r="E332"/>
  <c r="F332"/>
  <c r="A333"/>
  <c r="B333"/>
  <c r="C333"/>
  <c r="E333"/>
  <c r="F333"/>
  <c r="A334"/>
  <c r="B334"/>
  <c r="C334"/>
  <c r="E334"/>
  <c r="F334"/>
  <c r="A335"/>
  <c r="B335"/>
  <c r="C335"/>
  <c r="E335"/>
  <c r="F335"/>
  <c r="A336"/>
  <c r="B336"/>
  <c r="C336"/>
  <c r="E336"/>
  <c r="F336"/>
  <c r="A337"/>
  <c r="B337"/>
  <c r="C337"/>
  <c r="E337"/>
  <c r="F337"/>
  <c r="A338"/>
  <c r="B338"/>
  <c r="C338"/>
  <c r="E338"/>
  <c r="F338"/>
  <c r="A339"/>
  <c r="B339"/>
  <c r="C339"/>
  <c r="E339"/>
  <c r="F339"/>
  <c r="A340"/>
  <c r="B340"/>
  <c r="C340"/>
  <c r="E340"/>
  <c r="F340"/>
  <c r="A341"/>
  <c r="B341"/>
  <c r="C341"/>
  <c r="E341"/>
  <c r="F341"/>
  <c r="A342"/>
  <c r="B342"/>
  <c r="C342"/>
  <c r="E342"/>
  <c r="F342"/>
  <c r="A343"/>
  <c r="B343"/>
  <c r="C343"/>
  <c r="E343"/>
  <c r="F343"/>
  <c r="A344"/>
  <c r="B344"/>
  <c r="C344"/>
  <c r="E344"/>
  <c r="F344"/>
  <c r="A345"/>
  <c r="B345"/>
  <c r="C345"/>
  <c r="E345"/>
  <c r="F345"/>
  <c r="A346"/>
  <c r="B346"/>
  <c r="C346"/>
  <c r="E346"/>
  <c r="F346"/>
  <c r="A347"/>
  <c r="B347"/>
  <c r="C347"/>
  <c r="E347"/>
  <c r="F347"/>
  <c r="A348"/>
  <c r="B348"/>
  <c r="C348"/>
  <c r="E348"/>
  <c r="F348"/>
  <c r="A349"/>
  <c r="B349"/>
  <c r="C349"/>
  <c r="E349"/>
  <c r="F349"/>
  <c r="A350"/>
  <c r="B350"/>
  <c r="C350"/>
  <c r="E350"/>
  <c r="F350"/>
  <c r="A351"/>
  <c r="B351"/>
  <c r="C351"/>
  <c r="E351"/>
  <c r="F351"/>
  <c r="A352"/>
  <c r="B352"/>
  <c r="C352"/>
  <c r="E352"/>
  <c r="F352"/>
  <c r="A353"/>
  <c r="B353"/>
  <c r="C353"/>
  <c r="E353"/>
  <c r="F353"/>
  <c r="A354"/>
  <c r="B354"/>
  <c r="C354"/>
  <c r="E354"/>
  <c r="F354"/>
  <c r="A355"/>
  <c r="B355"/>
  <c r="C355"/>
  <c r="E355"/>
  <c r="F355"/>
  <c r="A356"/>
  <c r="B356"/>
  <c r="C356"/>
  <c r="E356"/>
  <c r="F356"/>
  <c r="A357"/>
  <c r="B357"/>
  <c r="C357"/>
  <c r="E357"/>
  <c r="F357"/>
  <c r="A358"/>
  <c r="B358"/>
  <c r="C358"/>
  <c r="E358"/>
  <c r="F358"/>
  <c r="A359"/>
  <c r="B359"/>
  <c r="C359"/>
  <c r="E359"/>
  <c r="F359"/>
  <c r="A360"/>
  <c r="B360"/>
  <c r="C360"/>
  <c r="E360"/>
  <c r="F360"/>
  <c r="A361"/>
  <c r="B361"/>
  <c r="C361"/>
  <c r="E361"/>
  <c r="F361"/>
  <c r="A362"/>
  <c r="B362"/>
  <c r="C362"/>
  <c r="E362"/>
  <c r="F362"/>
  <c r="A363"/>
  <c r="B363"/>
  <c r="C363"/>
  <c r="E363"/>
  <c r="F363"/>
  <c r="A364"/>
  <c r="B364"/>
  <c r="C364"/>
  <c r="E364"/>
  <c r="F364"/>
  <c r="A365"/>
  <c r="B365"/>
  <c r="C365"/>
  <c r="E365"/>
  <c r="F365"/>
  <c r="A366"/>
  <c r="B366"/>
  <c r="C366"/>
  <c r="E366"/>
  <c r="F366"/>
  <c r="A367"/>
  <c r="B367"/>
  <c r="C367"/>
  <c r="E367"/>
  <c r="F367"/>
  <c r="A368"/>
  <c r="B368"/>
  <c r="C368"/>
  <c r="E368"/>
  <c r="F368"/>
  <c r="A369"/>
  <c r="B369"/>
  <c r="C369"/>
  <c r="E369"/>
  <c r="F369"/>
  <c r="A370"/>
  <c r="B370"/>
  <c r="C370"/>
  <c r="E370"/>
  <c r="F370"/>
  <c r="A371"/>
  <c r="B371"/>
  <c r="C371"/>
  <c r="E371"/>
  <c r="F371"/>
  <c r="A372"/>
  <c r="B372"/>
  <c r="C372"/>
  <c r="E372"/>
  <c r="F372"/>
  <c r="A373"/>
  <c r="B373"/>
  <c r="C373"/>
  <c r="E373"/>
  <c r="F373"/>
  <c r="A374"/>
  <c r="B374"/>
  <c r="C374"/>
  <c r="E374"/>
  <c r="F374"/>
  <c r="A375"/>
  <c r="B375"/>
  <c r="C375"/>
  <c r="E375"/>
  <c r="F375"/>
  <c r="A376"/>
  <c r="B376"/>
  <c r="C376"/>
  <c r="E376"/>
  <c r="F376"/>
  <c r="A377"/>
  <c r="B377"/>
  <c r="C377"/>
  <c r="E377"/>
  <c r="F377"/>
  <c r="A378"/>
  <c r="B378"/>
  <c r="C378"/>
  <c r="E378"/>
  <c r="F378"/>
  <c r="A379"/>
  <c r="B379"/>
  <c r="C379"/>
  <c r="E379"/>
  <c r="F379"/>
  <c r="A380"/>
  <c r="B380"/>
  <c r="C380"/>
  <c r="E380"/>
  <c r="F380"/>
  <c r="A381"/>
  <c r="B381"/>
  <c r="C381"/>
  <c r="E381"/>
  <c r="F381"/>
  <c r="A382"/>
  <c r="B382"/>
  <c r="C382"/>
  <c r="E382"/>
  <c r="F382"/>
  <c r="A383"/>
  <c r="B383"/>
  <c r="C383"/>
  <c r="E383"/>
  <c r="F383"/>
  <c r="A384"/>
  <c r="B384"/>
  <c r="C384"/>
  <c r="E384"/>
  <c r="F384"/>
  <c r="A385"/>
  <c r="B385"/>
  <c r="C385"/>
  <c r="E385"/>
  <c r="F385"/>
  <c r="A386"/>
  <c r="B386"/>
  <c r="C386"/>
  <c r="E386"/>
  <c r="F386"/>
  <c r="A387"/>
  <c r="B387"/>
  <c r="C387"/>
  <c r="E387"/>
  <c r="F387"/>
  <c r="A388"/>
  <c r="B388"/>
  <c r="C388"/>
  <c r="E388"/>
  <c r="F388"/>
  <c r="A389"/>
  <c r="B389"/>
  <c r="C389"/>
  <c r="E389"/>
  <c r="F389"/>
  <c r="A390"/>
  <c r="B390"/>
  <c r="C390"/>
  <c r="E390"/>
  <c r="F390"/>
  <c r="A391"/>
  <c r="B391"/>
  <c r="C391"/>
  <c r="E391"/>
  <c r="F391"/>
  <c r="A392"/>
  <c r="B392"/>
  <c r="C392"/>
  <c r="E392"/>
  <c r="F392"/>
  <c r="A393"/>
  <c r="B393"/>
  <c r="C393"/>
  <c r="E393"/>
  <c r="F393"/>
  <c r="A394"/>
  <c r="B394"/>
  <c r="C394"/>
  <c r="E394"/>
  <c r="F394"/>
  <c r="A395"/>
  <c r="B395"/>
  <c r="C395"/>
  <c r="E395"/>
  <c r="F395"/>
  <c r="A396"/>
  <c r="B396"/>
  <c r="C396"/>
  <c r="E396"/>
  <c r="F396"/>
  <c r="A397"/>
  <c r="B397"/>
  <c r="C397"/>
  <c r="E397"/>
  <c r="F397"/>
  <c r="A398"/>
  <c r="B398"/>
  <c r="C398"/>
  <c r="E398"/>
  <c r="F398"/>
  <c r="A399"/>
  <c r="B399"/>
  <c r="C399"/>
  <c r="E399"/>
  <c r="F399"/>
  <c r="A400"/>
  <c r="B400"/>
  <c r="C400"/>
  <c r="E400"/>
  <c r="F400"/>
  <c r="A401"/>
  <c r="B401"/>
  <c r="C401"/>
  <c r="E401"/>
  <c r="F401"/>
  <c r="A402"/>
  <c r="B402"/>
  <c r="C402"/>
  <c r="E402"/>
  <c r="F402"/>
  <c r="A403"/>
  <c r="B403"/>
  <c r="C403"/>
  <c r="E403"/>
  <c r="F403"/>
  <c r="A404"/>
  <c r="B404"/>
  <c r="C404"/>
  <c r="E404"/>
  <c r="F404"/>
  <c r="A405"/>
  <c r="B405"/>
  <c r="C405"/>
  <c r="E405"/>
  <c r="F405"/>
  <c r="A406"/>
  <c r="B406"/>
  <c r="C406"/>
  <c r="E406"/>
  <c r="F406"/>
  <c r="A407"/>
  <c r="B407"/>
  <c r="C407"/>
  <c r="E407"/>
  <c r="F407"/>
  <c r="A408"/>
  <c r="B408"/>
  <c r="C408"/>
  <c r="E408"/>
  <c r="F408"/>
  <c r="A409"/>
  <c r="B409"/>
  <c r="C409"/>
  <c r="E409"/>
  <c r="F409"/>
  <c r="A410"/>
  <c r="B410"/>
  <c r="C410"/>
  <c r="E410"/>
  <c r="F410"/>
  <c r="A411"/>
  <c r="B411"/>
  <c r="C411"/>
  <c r="E411"/>
  <c r="F411"/>
  <c r="A412"/>
  <c r="B412"/>
  <c r="C412"/>
  <c r="E412"/>
  <c r="F412"/>
  <c r="A413"/>
  <c r="B413"/>
  <c r="C413"/>
  <c r="E413"/>
  <c r="F413"/>
  <c r="A414"/>
  <c r="B414"/>
  <c r="C414"/>
  <c r="E414"/>
  <c r="F414"/>
  <c r="A415"/>
  <c r="B415"/>
  <c r="C415"/>
  <c r="E415"/>
  <c r="F415"/>
  <c r="A416"/>
  <c r="B416"/>
  <c r="C416"/>
  <c r="E416"/>
  <c r="F416"/>
  <c r="A417"/>
  <c r="B417"/>
  <c r="C417"/>
  <c r="E417"/>
  <c r="F417"/>
  <c r="A418"/>
  <c r="B418"/>
  <c r="C418"/>
  <c r="E418"/>
  <c r="F418"/>
  <c r="A419"/>
  <c r="B419"/>
  <c r="C419"/>
  <c r="E419"/>
  <c r="F419"/>
  <c r="A420"/>
  <c r="B420"/>
  <c r="C420"/>
  <c r="E420"/>
  <c r="F420"/>
  <c r="A421"/>
  <c r="B421"/>
  <c r="C421"/>
  <c r="E421"/>
  <c r="F421"/>
  <c r="A422"/>
  <c r="B422"/>
  <c r="C422"/>
  <c r="E422"/>
  <c r="F422"/>
  <c r="A423"/>
  <c r="B423"/>
  <c r="C423"/>
  <c r="E423"/>
  <c r="F423"/>
  <c r="A424"/>
  <c r="B424"/>
  <c r="C424"/>
  <c r="E424"/>
  <c r="F424"/>
  <c r="A425"/>
  <c r="B425"/>
  <c r="C425"/>
  <c r="E425"/>
  <c r="F425"/>
  <c r="A426"/>
  <c r="B426"/>
  <c r="C426"/>
  <c r="E426"/>
  <c r="F426"/>
  <c r="A427"/>
  <c r="B427"/>
  <c r="C427"/>
  <c r="E427"/>
  <c r="F427"/>
  <c r="A428"/>
  <c r="B428"/>
  <c r="C428"/>
  <c r="E428"/>
  <c r="F428"/>
  <c r="A429"/>
  <c r="B429"/>
  <c r="C429"/>
  <c r="E429"/>
  <c r="F429"/>
  <c r="A430"/>
  <c r="B430"/>
  <c r="C430"/>
  <c r="E430"/>
  <c r="F430"/>
  <c r="A431"/>
  <c r="B431"/>
  <c r="C431"/>
  <c r="E431"/>
  <c r="F431"/>
  <c r="A432"/>
  <c r="B432"/>
  <c r="C432"/>
  <c r="E432"/>
  <c r="F432"/>
  <c r="A433"/>
  <c r="B433"/>
  <c r="C433"/>
  <c r="E433"/>
  <c r="F433"/>
  <c r="A434"/>
  <c r="B434"/>
  <c r="C434"/>
  <c r="E434"/>
  <c r="F434"/>
  <c r="A435"/>
  <c r="B435"/>
  <c r="C435"/>
  <c r="E435"/>
  <c r="F435"/>
  <c r="A436"/>
  <c r="B436"/>
  <c r="C436"/>
  <c r="E436"/>
  <c r="F436"/>
  <c r="A437"/>
  <c r="B437"/>
  <c r="C437"/>
  <c r="E437"/>
  <c r="F437"/>
  <c r="A438"/>
  <c r="B438"/>
  <c r="C438"/>
  <c r="E438"/>
  <c r="F438"/>
  <c r="A439"/>
  <c r="B439"/>
  <c r="C439"/>
  <c r="E439"/>
  <c r="F439"/>
  <c r="A440"/>
  <c r="B440"/>
  <c r="C440"/>
  <c r="E440"/>
  <c r="F440"/>
  <c r="A441"/>
  <c r="B441"/>
  <c r="C441"/>
  <c r="E441"/>
  <c r="F441"/>
  <c r="A442"/>
  <c r="B442"/>
  <c r="C442"/>
  <c r="E442"/>
  <c r="F442"/>
  <c r="A443"/>
  <c r="B443"/>
  <c r="C443"/>
  <c r="E443"/>
  <c r="F443"/>
  <c r="A444"/>
  <c r="B444"/>
  <c r="C444"/>
  <c r="E444"/>
  <c r="F444"/>
  <c r="A445"/>
  <c r="B445"/>
  <c r="C445"/>
  <c r="E445"/>
  <c r="F445"/>
  <c r="A446"/>
  <c r="B446"/>
  <c r="C446"/>
  <c r="E446"/>
  <c r="F446"/>
  <c r="A447"/>
  <c r="B447"/>
  <c r="C447"/>
  <c r="E447"/>
  <c r="F447"/>
  <c r="A448"/>
  <c r="B448"/>
  <c r="C448"/>
  <c r="E448"/>
  <c r="F448"/>
  <c r="A449"/>
  <c r="B449"/>
  <c r="C449"/>
  <c r="E449"/>
  <c r="F449"/>
  <c r="A450"/>
  <c r="B450"/>
  <c r="C450"/>
  <c r="E450"/>
  <c r="F450"/>
  <c r="A451"/>
  <c r="B451"/>
  <c r="C451"/>
  <c r="E451"/>
  <c r="F451"/>
  <c r="A452"/>
  <c r="B452"/>
  <c r="C452"/>
  <c r="E452"/>
  <c r="F452"/>
  <c r="A453"/>
  <c r="B453"/>
  <c r="C453"/>
  <c r="E453"/>
  <c r="F453"/>
  <c r="A454"/>
  <c r="B454"/>
  <c r="C454"/>
  <c r="E454"/>
  <c r="F454"/>
  <c r="A455"/>
  <c r="B455"/>
  <c r="C455"/>
  <c r="E455"/>
  <c r="F455"/>
  <c r="A456"/>
  <c r="B456"/>
  <c r="C456"/>
  <c r="E456"/>
  <c r="F456"/>
  <c r="A457"/>
  <c r="B457"/>
  <c r="C457"/>
  <c r="E457"/>
  <c r="F457"/>
  <c r="A458"/>
  <c r="B458"/>
  <c r="C458"/>
  <c r="E458"/>
  <c r="F458"/>
  <c r="A459"/>
  <c r="B459"/>
  <c r="C459"/>
  <c r="E459"/>
  <c r="F459"/>
  <c r="A460"/>
  <c r="B460"/>
  <c r="C460"/>
  <c r="E460"/>
  <c r="F460"/>
  <c r="A461"/>
  <c r="B461"/>
  <c r="C461"/>
  <c r="E461"/>
  <c r="F461"/>
  <c r="A462"/>
  <c r="B462"/>
  <c r="C462"/>
  <c r="E462"/>
  <c r="F462"/>
  <c r="A463"/>
  <c r="B463"/>
  <c r="C463"/>
  <c r="E463"/>
  <c r="F463"/>
  <c r="A464"/>
  <c r="B464"/>
  <c r="C464"/>
  <c r="E464"/>
  <c r="F464"/>
  <c r="A465"/>
  <c r="B465"/>
  <c r="C465"/>
  <c r="E465"/>
  <c r="F465"/>
  <c r="A466"/>
  <c r="B466"/>
  <c r="C466"/>
  <c r="E466"/>
  <c r="F466"/>
  <c r="A467"/>
  <c r="B467"/>
  <c r="C467"/>
  <c r="E467"/>
  <c r="F467"/>
  <c r="A468"/>
  <c r="B468"/>
  <c r="C468"/>
  <c r="E468"/>
  <c r="F468"/>
  <c r="A469"/>
  <c r="B469"/>
  <c r="C469"/>
  <c r="E469"/>
  <c r="F469"/>
  <c r="A470"/>
  <c r="B470"/>
  <c r="C470"/>
  <c r="E470"/>
  <c r="F470"/>
  <c r="A471"/>
  <c r="B471"/>
  <c r="C471"/>
  <c r="E471"/>
  <c r="F471"/>
  <c r="A472"/>
  <c r="B472"/>
  <c r="C472"/>
  <c r="E472"/>
  <c r="F472"/>
  <c r="A473"/>
  <c r="B473"/>
  <c r="C473"/>
  <c r="E473"/>
  <c r="F473"/>
  <c r="A474"/>
  <c r="B474"/>
  <c r="C474"/>
  <c r="E474"/>
  <c r="F474"/>
  <c r="A475"/>
  <c r="B475"/>
  <c r="C475"/>
  <c r="E475"/>
  <c r="F475"/>
  <c r="A476"/>
  <c r="B476"/>
  <c r="C476"/>
  <c r="E476"/>
  <c r="F476"/>
  <c r="A477"/>
  <c r="B477"/>
  <c r="C477"/>
  <c r="E477"/>
  <c r="F477"/>
  <c r="A478"/>
  <c r="B478"/>
  <c r="C478"/>
  <c r="E478"/>
  <c r="F478"/>
  <c r="A479"/>
  <c r="B479"/>
  <c r="C479"/>
  <c r="E479"/>
  <c r="F479"/>
  <c r="A480"/>
  <c r="B480"/>
  <c r="C480"/>
  <c r="E480"/>
  <c r="F480"/>
  <c r="A481"/>
  <c r="B481"/>
  <c r="C481"/>
  <c r="E481"/>
  <c r="F481"/>
  <c r="A482"/>
  <c r="B482"/>
  <c r="C482"/>
  <c r="E482"/>
  <c r="F482"/>
  <c r="A483"/>
  <c r="B483"/>
  <c r="C483"/>
  <c r="E483"/>
  <c r="F483"/>
  <c r="A484"/>
  <c r="B484"/>
  <c r="C484"/>
  <c r="E484"/>
  <c r="F484"/>
  <c r="A485"/>
  <c r="B485"/>
  <c r="C485"/>
  <c r="E485"/>
  <c r="F485"/>
  <c r="A486"/>
  <c r="B486"/>
  <c r="C486"/>
  <c r="E486"/>
  <c r="F486"/>
  <c r="A487"/>
  <c r="B487"/>
  <c r="C487"/>
  <c r="E487"/>
  <c r="F487"/>
  <c r="A488"/>
  <c r="B488"/>
  <c r="C488"/>
  <c r="E488"/>
  <c r="F488"/>
  <c r="A489"/>
  <c r="B489"/>
  <c r="C489"/>
  <c r="E489"/>
  <c r="F489"/>
  <c r="A490"/>
  <c r="B490"/>
  <c r="C490"/>
  <c r="E490"/>
  <c r="F490"/>
  <c r="A491"/>
  <c r="B491"/>
  <c r="C491"/>
  <c r="E491"/>
  <c r="F491"/>
  <c r="A492"/>
  <c r="B492"/>
  <c r="C492"/>
  <c r="E492"/>
  <c r="F492"/>
  <c r="A493"/>
  <c r="B493"/>
  <c r="C493"/>
  <c r="E493"/>
  <c r="F493"/>
  <c r="A494"/>
  <c r="B494"/>
  <c r="C494"/>
  <c r="E494"/>
  <c r="F494"/>
  <c r="A495"/>
  <c r="B495"/>
  <c r="C495"/>
  <c r="E495"/>
  <c r="F495"/>
  <c r="A496"/>
  <c r="B496"/>
  <c r="C496"/>
  <c r="E496"/>
  <c r="F496"/>
  <c r="A497"/>
  <c r="B497"/>
  <c r="C497"/>
  <c r="E497"/>
  <c r="F497"/>
  <c r="A498"/>
  <c r="B498"/>
  <c r="C498"/>
  <c r="E498"/>
  <c r="F498"/>
  <c r="A499"/>
  <c r="B499"/>
  <c r="C499"/>
  <c r="E499"/>
  <c r="F499"/>
  <c r="A500"/>
  <c r="B500"/>
  <c r="C500"/>
  <c r="E500"/>
  <c r="F500"/>
  <c r="A501"/>
  <c r="B501"/>
  <c r="C501"/>
  <c r="E501"/>
  <c r="F501"/>
  <c r="A502"/>
  <c r="B502"/>
  <c r="C502"/>
  <c r="E502"/>
  <c r="F502"/>
  <c r="A503"/>
  <c r="B503"/>
  <c r="C503"/>
  <c r="E503"/>
  <c r="F503"/>
  <c r="A504"/>
  <c r="B504"/>
  <c r="C504"/>
  <c r="E504"/>
  <c r="F504"/>
  <c r="A505"/>
  <c r="B505"/>
  <c r="C505"/>
  <c r="E505"/>
  <c r="F505"/>
  <c r="A506"/>
  <c r="B506"/>
  <c r="C506"/>
  <c r="E506"/>
  <c r="F506"/>
  <c r="A507"/>
  <c r="B507"/>
  <c r="C507"/>
  <c r="E507"/>
  <c r="F507"/>
  <c r="A508"/>
  <c r="B508"/>
  <c r="C508"/>
  <c r="E508"/>
  <c r="F508"/>
  <c r="A509"/>
  <c r="B509"/>
  <c r="C509"/>
  <c r="E509"/>
  <c r="F509"/>
  <c r="A510"/>
  <c r="B510"/>
  <c r="C510"/>
  <c r="E510"/>
  <c r="F510"/>
  <c r="A511"/>
  <c r="B511"/>
  <c r="C511"/>
  <c r="E511"/>
  <c r="F511"/>
  <c r="A512"/>
  <c r="B512"/>
  <c r="C512"/>
  <c r="E512"/>
  <c r="F512"/>
  <c r="A513"/>
  <c r="B513"/>
  <c r="C513"/>
  <c r="E513"/>
  <c r="F513"/>
  <c r="A514"/>
  <c r="B514"/>
  <c r="C514"/>
  <c r="E514"/>
  <c r="F514"/>
  <c r="A515"/>
  <c r="B515"/>
  <c r="C515"/>
  <c r="E515"/>
  <c r="F515"/>
  <c r="A516"/>
  <c r="B516"/>
  <c r="C516"/>
  <c r="E516"/>
  <c r="F516"/>
  <c r="A517"/>
  <c r="B517"/>
  <c r="C517"/>
  <c r="E517"/>
  <c r="F517"/>
  <c r="A518"/>
  <c r="B518"/>
  <c r="C518"/>
  <c r="E518"/>
  <c r="F518"/>
  <c r="A519"/>
  <c r="B519"/>
  <c r="C519"/>
  <c r="E519"/>
  <c r="F519"/>
  <c r="A520"/>
  <c r="B520"/>
  <c r="C520"/>
  <c r="E520"/>
  <c r="F520"/>
  <c r="A521"/>
  <c r="B521"/>
  <c r="C521"/>
  <c r="E521"/>
  <c r="F521"/>
  <c r="A522"/>
  <c r="B522"/>
  <c r="C522"/>
  <c r="E522"/>
  <c r="F522"/>
  <c r="A523"/>
  <c r="B523"/>
  <c r="C523"/>
  <c r="E523"/>
  <c r="F523"/>
  <c r="A524"/>
  <c r="B524"/>
  <c r="C524"/>
  <c r="E524"/>
  <c r="F524"/>
  <c r="A525"/>
  <c r="B525"/>
  <c r="C525"/>
  <c r="E525"/>
  <c r="F525"/>
  <c r="A526"/>
  <c r="B526"/>
  <c r="C526"/>
  <c r="E526"/>
  <c r="F526"/>
  <c r="A527"/>
  <c r="B527"/>
  <c r="C527"/>
  <c r="E527"/>
  <c r="F527"/>
  <c r="A528"/>
  <c r="B528"/>
  <c r="C528"/>
  <c r="E528"/>
  <c r="F528"/>
  <c r="A529"/>
  <c r="B529"/>
  <c r="C529"/>
  <c r="E529"/>
  <c r="F529"/>
  <c r="A530"/>
  <c r="B530"/>
  <c r="C530"/>
  <c r="E530"/>
  <c r="F530"/>
  <c r="A531"/>
  <c r="B531"/>
  <c r="C531"/>
  <c r="E531"/>
  <c r="F531"/>
  <c r="A532"/>
  <c r="B532"/>
  <c r="C532"/>
  <c r="E532"/>
  <c r="F532"/>
  <c r="A533"/>
  <c r="B533"/>
  <c r="C533"/>
  <c r="E533"/>
  <c r="F533"/>
  <c r="A534"/>
  <c r="B534"/>
  <c r="C534"/>
  <c r="E534"/>
  <c r="F534"/>
  <c r="A535"/>
  <c r="B535"/>
  <c r="C535"/>
  <c r="E535"/>
  <c r="F535"/>
  <c r="A536"/>
  <c r="B536"/>
  <c r="C536"/>
  <c r="E536"/>
  <c r="F536"/>
  <c r="A537"/>
  <c r="B537"/>
  <c r="C537"/>
  <c r="E537"/>
  <c r="F537"/>
  <c r="A538"/>
  <c r="B538"/>
  <c r="C538"/>
  <c r="E538"/>
  <c r="F538"/>
  <c r="A539"/>
  <c r="B539"/>
  <c r="C539"/>
  <c r="E539"/>
  <c r="F539"/>
  <c r="A540"/>
  <c r="B540"/>
  <c r="C540"/>
  <c r="E540"/>
  <c r="F540"/>
  <c r="A541"/>
  <c r="B541"/>
  <c r="C541"/>
  <c r="E541"/>
  <c r="F541"/>
  <c r="A542"/>
  <c r="B542"/>
  <c r="C542"/>
  <c r="E542"/>
  <c r="F542"/>
  <c r="A543"/>
  <c r="B543"/>
  <c r="C543"/>
  <c r="E543"/>
  <c r="F543"/>
  <c r="A544"/>
  <c r="B544"/>
  <c r="C544"/>
  <c r="E544"/>
  <c r="F544"/>
  <c r="A545"/>
  <c r="B545"/>
  <c r="C545"/>
  <c r="E545"/>
  <c r="F545"/>
  <c r="A546"/>
  <c r="B546"/>
  <c r="C546"/>
  <c r="E546"/>
  <c r="F546"/>
  <c r="A547"/>
  <c r="B547"/>
  <c r="C547"/>
  <c r="E547"/>
  <c r="F547"/>
  <c r="A548"/>
  <c r="B548"/>
  <c r="C548"/>
  <c r="E548"/>
  <c r="F548"/>
  <c r="A549"/>
  <c r="B549"/>
  <c r="C549"/>
  <c r="E549"/>
  <c r="F549"/>
  <c r="A550"/>
  <c r="B550"/>
  <c r="C550"/>
  <c r="E550"/>
  <c r="F550"/>
  <c r="A551"/>
  <c r="B551"/>
  <c r="C551"/>
  <c r="E551"/>
  <c r="F551"/>
  <c r="A552"/>
  <c r="B552"/>
  <c r="C552"/>
  <c r="E552"/>
  <c r="F552"/>
  <c r="A553"/>
  <c r="B553"/>
  <c r="C553"/>
  <c r="E553"/>
  <c r="F553"/>
  <c r="A554"/>
  <c r="B554"/>
  <c r="C554"/>
  <c r="E554"/>
  <c r="F554"/>
  <c r="A555"/>
  <c r="B555"/>
  <c r="C555"/>
  <c r="E555"/>
  <c r="F555"/>
  <c r="A556"/>
  <c r="B556"/>
  <c r="C556"/>
  <c r="E556"/>
  <c r="F556"/>
  <c r="A557"/>
  <c r="B557"/>
  <c r="C557"/>
  <c r="E557"/>
  <c r="F557"/>
  <c r="A558"/>
  <c r="B558"/>
  <c r="C558"/>
  <c r="E558"/>
  <c r="F558"/>
  <c r="A559"/>
  <c r="B559"/>
  <c r="C559"/>
  <c r="E559"/>
  <c r="F559"/>
  <c r="A560"/>
  <c r="B560"/>
  <c r="C560"/>
  <c r="E560"/>
  <c r="F560"/>
  <c r="A561"/>
  <c r="B561"/>
  <c r="C561"/>
  <c r="E561"/>
  <c r="F561"/>
  <c r="A562"/>
  <c r="B562"/>
  <c r="C562"/>
  <c r="E562"/>
  <c r="F562"/>
  <c r="A563"/>
  <c r="B563"/>
  <c r="C563"/>
  <c r="E563"/>
  <c r="F563"/>
  <c r="A564"/>
  <c r="B564"/>
  <c r="C564"/>
  <c r="E564"/>
  <c r="F564"/>
  <c r="A565"/>
  <c r="B565"/>
  <c r="C565"/>
  <c r="E565"/>
  <c r="F565"/>
  <c r="A566"/>
  <c r="B566"/>
  <c r="C566"/>
  <c r="E566"/>
  <c r="F566"/>
  <c r="A567"/>
  <c r="B567"/>
  <c r="C567"/>
  <c r="E567"/>
  <c r="F567"/>
  <c r="A568"/>
  <c r="B568"/>
  <c r="C568"/>
  <c r="E568"/>
  <c r="F568"/>
  <c r="A569"/>
  <c r="B569"/>
  <c r="C569"/>
  <c r="E569"/>
  <c r="F569"/>
  <c r="A570"/>
  <c r="B570"/>
  <c r="C570"/>
  <c r="E570"/>
  <c r="F570"/>
  <c r="A571"/>
  <c r="B571"/>
  <c r="C571"/>
  <c r="E571"/>
  <c r="F571"/>
  <c r="A572"/>
  <c r="B572"/>
  <c r="C572"/>
  <c r="E572"/>
  <c r="F572"/>
  <c r="A573"/>
  <c r="B573"/>
  <c r="C573"/>
  <c r="E573"/>
  <c r="F573"/>
  <c r="A574"/>
  <c r="B574"/>
  <c r="C574"/>
  <c r="E574"/>
  <c r="F574"/>
  <c r="A575"/>
  <c r="B575"/>
  <c r="C575"/>
  <c r="E575"/>
  <c r="F575"/>
  <c r="A576"/>
  <c r="B576"/>
  <c r="C576"/>
  <c r="E576"/>
  <c r="F576"/>
  <c r="A577"/>
  <c r="B577"/>
  <c r="C577"/>
  <c r="E577"/>
  <c r="F577"/>
  <c r="A578"/>
  <c r="B578"/>
  <c r="C578"/>
  <c r="E578"/>
  <c r="F578"/>
  <c r="A579"/>
  <c r="B579"/>
  <c r="C579"/>
  <c r="E579"/>
  <c r="F579"/>
  <c r="A580"/>
  <c r="B580"/>
  <c r="C580"/>
  <c r="E580"/>
  <c r="F580"/>
  <c r="A581"/>
  <c r="B581"/>
  <c r="C581"/>
  <c r="E581"/>
  <c r="F581"/>
  <c r="A582"/>
  <c r="B582"/>
  <c r="C582"/>
  <c r="E582"/>
  <c r="F582"/>
  <c r="A583"/>
  <c r="B583"/>
  <c r="C583"/>
  <c r="E583"/>
  <c r="F583"/>
  <c r="A584"/>
  <c r="B584"/>
  <c r="C584"/>
  <c r="E584"/>
  <c r="F584"/>
  <c r="A585"/>
  <c r="B585"/>
  <c r="C585"/>
  <c r="E585"/>
  <c r="F585"/>
  <c r="A586"/>
  <c r="B586"/>
  <c r="C586"/>
  <c r="E586"/>
  <c r="F586"/>
  <c r="A587"/>
  <c r="B587"/>
  <c r="C587"/>
  <c r="E587"/>
  <c r="F587"/>
  <c r="A588"/>
  <c r="B588"/>
  <c r="C588"/>
  <c r="E588"/>
  <c r="F588"/>
  <c r="A589"/>
  <c r="B589"/>
  <c r="C589"/>
  <c r="E589"/>
  <c r="F589"/>
  <c r="A590"/>
  <c r="B590"/>
  <c r="C590"/>
  <c r="E590"/>
  <c r="F590"/>
  <c r="A591"/>
  <c r="B591"/>
  <c r="C591"/>
  <c r="E591"/>
  <c r="F591"/>
  <c r="A592"/>
  <c r="B592"/>
  <c r="C592"/>
  <c r="E592"/>
  <c r="F592"/>
  <c r="A593"/>
  <c r="B593"/>
  <c r="C593"/>
  <c r="E593"/>
  <c r="F593"/>
  <c r="A594"/>
  <c r="B594"/>
  <c r="C594"/>
  <c r="E594"/>
  <c r="F594"/>
  <c r="A595"/>
  <c r="B595"/>
  <c r="C595"/>
  <c r="E595"/>
  <c r="F595"/>
  <c r="A596"/>
  <c r="B596"/>
  <c r="C596"/>
  <c r="E596"/>
  <c r="F596"/>
  <c r="A597"/>
  <c r="B597"/>
  <c r="C597"/>
  <c r="E597"/>
  <c r="F597"/>
  <c r="A598"/>
  <c r="B598"/>
  <c r="C598"/>
  <c r="E598"/>
  <c r="F598"/>
  <c r="A599"/>
  <c r="B599"/>
  <c r="C599"/>
  <c r="E599"/>
  <c r="F599"/>
  <c r="A600"/>
  <c r="B600"/>
  <c r="C600"/>
  <c r="E600"/>
  <c r="F600"/>
  <c r="A601"/>
  <c r="B601"/>
  <c r="C601"/>
  <c r="E601"/>
  <c r="F601"/>
  <c r="A602"/>
  <c r="B602"/>
  <c r="C602"/>
  <c r="E602"/>
  <c r="F602"/>
  <c r="A603"/>
  <c r="B603"/>
  <c r="C603"/>
  <c r="E603"/>
  <c r="F603"/>
  <c r="A604"/>
  <c r="B604"/>
  <c r="C604"/>
  <c r="E604"/>
  <c r="F604"/>
  <c r="A605"/>
  <c r="B605"/>
  <c r="C605"/>
  <c r="E605"/>
  <c r="F605"/>
  <c r="A606"/>
  <c r="B606"/>
  <c r="C606"/>
  <c r="E606"/>
  <c r="F606"/>
  <c r="A607"/>
  <c r="B607"/>
  <c r="C607"/>
  <c r="E607"/>
  <c r="F607"/>
  <c r="A608"/>
  <c r="B608"/>
  <c r="C608"/>
  <c r="E608"/>
  <c r="F608"/>
  <c r="A609"/>
  <c r="B609"/>
  <c r="C609"/>
  <c r="E609"/>
  <c r="F609"/>
  <c r="A610"/>
  <c r="B610"/>
  <c r="C610"/>
  <c r="E610"/>
  <c r="F610"/>
  <c r="A611"/>
  <c r="B611"/>
  <c r="C611"/>
  <c r="E611"/>
  <c r="F611"/>
  <c r="A612"/>
  <c r="B612"/>
  <c r="C612"/>
  <c r="E612"/>
  <c r="F612"/>
  <c r="A613"/>
  <c r="B613"/>
  <c r="C613"/>
  <c r="E613"/>
  <c r="F613"/>
  <c r="A614"/>
  <c r="B614"/>
  <c r="C614"/>
  <c r="E614"/>
  <c r="F614"/>
  <c r="A615"/>
  <c r="B615"/>
  <c r="C615"/>
  <c r="E615"/>
  <c r="F615"/>
  <c r="A616"/>
  <c r="B616"/>
  <c r="C616"/>
  <c r="E616"/>
  <c r="F616"/>
  <c r="A617"/>
  <c r="B617"/>
  <c r="C617"/>
  <c r="E617"/>
  <c r="F617"/>
  <c r="A618"/>
  <c r="B618"/>
  <c r="C618"/>
  <c r="E618"/>
  <c r="F618"/>
  <c r="A619"/>
  <c r="B619"/>
  <c r="C619"/>
  <c r="E619"/>
  <c r="F619"/>
  <c r="A620"/>
  <c r="B620"/>
  <c r="C620"/>
  <c r="E620"/>
  <c r="F620"/>
  <c r="A621"/>
  <c r="B621"/>
  <c r="C621"/>
  <c r="E621"/>
  <c r="F621"/>
  <c r="A622"/>
  <c r="B622"/>
  <c r="C622"/>
  <c r="E622"/>
  <c r="F622"/>
  <c r="A623"/>
  <c r="B623"/>
  <c r="C623"/>
  <c r="E623"/>
  <c r="F623"/>
  <c r="A624"/>
  <c r="B624"/>
  <c r="C624"/>
  <c r="E624"/>
  <c r="F624"/>
  <c r="A625"/>
  <c r="B625"/>
  <c r="C625"/>
  <c r="E625"/>
  <c r="F625"/>
  <c r="A626"/>
  <c r="B626"/>
  <c r="C626"/>
  <c r="E626"/>
  <c r="F626"/>
  <c r="A627"/>
  <c r="B627"/>
  <c r="C627"/>
  <c r="E627"/>
  <c r="F627"/>
  <c r="A628"/>
  <c r="B628"/>
  <c r="C628"/>
  <c r="E628"/>
  <c r="F628"/>
  <c r="A629"/>
  <c r="B629"/>
  <c r="C629"/>
  <c r="E629"/>
  <c r="F629"/>
  <c r="A630"/>
  <c r="B630"/>
  <c r="C630"/>
  <c r="E630"/>
  <c r="F630"/>
  <c r="A631"/>
  <c r="B631"/>
  <c r="C631"/>
  <c r="E631"/>
  <c r="F631"/>
  <c r="A632"/>
  <c r="B632"/>
  <c r="C632"/>
  <c r="E632"/>
  <c r="F632"/>
  <c r="A633"/>
  <c r="B633"/>
  <c r="C633"/>
  <c r="E633"/>
  <c r="F633"/>
  <c r="A634"/>
  <c r="B634"/>
  <c r="C634"/>
  <c r="E634"/>
  <c r="F634"/>
  <c r="A635"/>
  <c r="B635"/>
  <c r="C635"/>
  <c r="E635"/>
  <c r="F635"/>
  <c r="A636"/>
  <c r="B636"/>
  <c r="C636"/>
  <c r="E636"/>
  <c r="F636"/>
  <c r="A637"/>
  <c r="B637"/>
  <c r="C637"/>
  <c r="E637"/>
  <c r="F637"/>
  <c r="A638"/>
  <c r="B638"/>
  <c r="C638"/>
  <c r="E638"/>
  <c r="F638"/>
  <c r="A639"/>
  <c r="B639"/>
  <c r="C639"/>
  <c r="E639"/>
  <c r="F639"/>
  <c r="A640"/>
  <c r="B640"/>
  <c r="C640"/>
  <c r="E640"/>
  <c r="F640"/>
  <c r="A641"/>
  <c r="B641"/>
  <c r="C641"/>
  <c r="E641"/>
  <c r="F641"/>
  <c r="A642"/>
  <c r="B642"/>
  <c r="C642"/>
  <c r="E642"/>
  <c r="F642"/>
  <c r="A643"/>
  <c r="B643"/>
  <c r="C643"/>
  <c r="E643"/>
  <c r="F643"/>
  <c r="A644"/>
  <c r="B644"/>
  <c r="C644"/>
  <c r="E644"/>
  <c r="F644"/>
  <c r="A645"/>
  <c r="B645"/>
  <c r="C645"/>
  <c r="E645"/>
  <c r="F645"/>
  <c r="A646"/>
  <c r="B646"/>
  <c r="C646"/>
  <c r="E646"/>
  <c r="F646"/>
  <c r="A647"/>
  <c r="B647"/>
  <c r="C647"/>
  <c r="E647"/>
  <c r="F647"/>
  <c r="A648"/>
  <c r="B648"/>
  <c r="C648"/>
  <c r="E648"/>
  <c r="F648"/>
  <c r="A649"/>
  <c r="B649"/>
  <c r="C649"/>
  <c r="E649"/>
  <c r="F649"/>
  <c r="A650"/>
  <c r="B650"/>
  <c r="C650"/>
  <c r="E650"/>
  <c r="F650"/>
  <c r="A651"/>
  <c r="B651"/>
  <c r="C651"/>
  <c r="E651"/>
  <c r="F651"/>
  <c r="A652"/>
  <c r="B652"/>
  <c r="C652"/>
  <c r="E652"/>
  <c r="F652"/>
  <c r="A653"/>
  <c r="B653"/>
  <c r="C653"/>
  <c r="E653"/>
  <c r="F653"/>
  <c r="A654"/>
  <c r="B654"/>
  <c r="C654"/>
  <c r="E654"/>
  <c r="F654"/>
  <c r="A655"/>
  <c r="B655"/>
  <c r="C655"/>
  <c r="E655"/>
  <c r="F655"/>
  <c r="A656"/>
  <c r="B656"/>
  <c r="C656"/>
  <c r="E656"/>
  <c r="F656"/>
  <c r="A657"/>
  <c r="B657"/>
  <c r="C657"/>
  <c r="E657"/>
  <c r="F657"/>
  <c r="A658"/>
  <c r="B658"/>
  <c r="C658"/>
  <c r="E658"/>
  <c r="F658"/>
  <c r="A659"/>
  <c r="B659"/>
  <c r="C659"/>
  <c r="E659"/>
  <c r="F659"/>
  <c r="A660"/>
  <c r="B660"/>
  <c r="C660"/>
  <c r="E660"/>
  <c r="F660"/>
  <c r="A661"/>
  <c r="B661"/>
  <c r="C661"/>
  <c r="E661"/>
  <c r="F661"/>
  <c r="A662"/>
  <c r="B662"/>
  <c r="C662"/>
  <c r="E662"/>
  <c r="F662"/>
  <c r="A663"/>
  <c r="B663"/>
  <c r="C663"/>
  <c r="E663"/>
  <c r="F663"/>
  <c r="A664"/>
  <c r="B664"/>
  <c r="C664"/>
  <c r="E664"/>
  <c r="F664"/>
  <c r="A665"/>
  <c r="B665"/>
  <c r="C665"/>
  <c r="E665"/>
  <c r="F665"/>
  <c r="A666"/>
  <c r="B666"/>
  <c r="C666"/>
  <c r="E666"/>
  <c r="F666"/>
  <c r="A667"/>
  <c r="B667"/>
  <c r="C667"/>
  <c r="E667"/>
  <c r="F667"/>
  <c r="A668"/>
  <c r="B668"/>
  <c r="C668"/>
  <c r="E668"/>
  <c r="F668"/>
  <c r="A669"/>
  <c r="B669"/>
  <c r="C669"/>
  <c r="E669"/>
  <c r="F669"/>
  <c r="A670"/>
  <c r="B670"/>
  <c r="C670"/>
  <c r="E670"/>
  <c r="F670"/>
  <c r="A671"/>
  <c r="B671"/>
  <c r="C671"/>
  <c r="E671"/>
  <c r="F671"/>
  <c r="A672"/>
  <c r="B672"/>
  <c r="C672"/>
  <c r="E672"/>
  <c r="F672"/>
  <c r="A673"/>
  <c r="B673"/>
  <c r="C673"/>
  <c r="E673"/>
  <c r="F673"/>
  <c r="A674"/>
  <c r="B674"/>
  <c r="C674"/>
  <c r="E674"/>
  <c r="F674"/>
  <c r="A675"/>
  <c r="B675"/>
  <c r="C675"/>
  <c r="E675"/>
  <c r="F675"/>
  <c r="A676"/>
  <c r="B676"/>
  <c r="C676"/>
  <c r="E676"/>
  <c r="F676"/>
  <c r="A677"/>
  <c r="B677"/>
  <c r="C677"/>
  <c r="E677"/>
  <c r="F677"/>
  <c r="A678"/>
  <c r="B678"/>
  <c r="C678"/>
  <c r="E678"/>
  <c r="F678"/>
  <c r="A679"/>
  <c r="B679"/>
  <c r="C679"/>
  <c r="E679"/>
  <c r="F679"/>
  <c r="A680"/>
  <c r="B680"/>
  <c r="C680"/>
  <c r="E680"/>
  <c r="F680"/>
  <c r="A681"/>
  <c r="B681"/>
  <c r="C681"/>
  <c r="E681"/>
  <c r="F681"/>
  <c r="A682"/>
  <c r="B682"/>
  <c r="C682"/>
  <c r="E682"/>
  <c r="F682"/>
  <c r="A683"/>
  <c r="B683"/>
  <c r="C683"/>
  <c r="E683"/>
  <c r="F683"/>
  <c r="A684"/>
  <c r="B684"/>
  <c r="C684"/>
  <c r="E684"/>
  <c r="F684"/>
  <c r="A685"/>
  <c r="B685"/>
  <c r="C685"/>
  <c r="E685"/>
  <c r="F685"/>
  <c r="A686"/>
  <c r="B686"/>
  <c r="C686"/>
  <c r="E686"/>
  <c r="F686"/>
  <c r="A687"/>
  <c r="B687"/>
  <c r="C687"/>
  <c r="E687"/>
  <c r="F687"/>
  <c r="A688"/>
  <c r="B688"/>
  <c r="C688"/>
  <c r="E688"/>
  <c r="F688"/>
  <c r="A689"/>
  <c r="B689"/>
  <c r="C689"/>
  <c r="E689"/>
  <c r="F689"/>
  <c r="A690"/>
  <c r="B690"/>
  <c r="C690"/>
  <c r="E690"/>
  <c r="F690"/>
  <c r="A691"/>
  <c r="B691"/>
  <c r="C691"/>
  <c r="E691"/>
  <c r="F691"/>
  <c r="A692"/>
  <c r="B692"/>
  <c r="C692"/>
  <c r="E692"/>
  <c r="F692"/>
  <c r="A693"/>
  <c r="B693"/>
  <c r="C693"/>
  <c r="E693"/>
  <c r="F693"/>
  <c r="A694"/>
  <c r="B694"/>
  <c r="C694"/>
  <c r="E694"/>
  <c r="F694"/>
  <c r="A695"/>
  <c r="B695"/>
  <c r="C695"/>
  <c r="E695"/>
  <c r="F695"/>
  <c r="A696"/>
  <c r="B696"/>
  <c r="C696"/>
  <c r="E696"/>
  <c r="F696"/>
  <c r="A697"/>
  <c r="B697"/>
  <c r="C697"/>
  <c r="E697"/>
  <c r="F697"/>
  <c r="A698"/>
  <c r="B698"/>
  <c r="C698"/>
  <c r="E698"/>
  <c r="F698"/>
  <c r="A699"/>
  <c r="B699"/>
  <c r="C699"/>
  <c r="E699"/>
  <c r="F699"/>
  <c r="A700"/>
  <c r="B700"/>
  <c r="C700"/>
  <c r="E700"/>
  <c r="F700"/>
  <c r="A701"/>
  <c r="B701"/>
  <c r="C701"/>
  <c r="E701"/>
  <c r="F701"/>
  <c r="A702"/>
  <c r="B702"/>
  <c r="C702"/>
  <c r="E702"/>
  <c r="F702"/>
  <c r="A703"/>
  <c r="B703"/>
  <c r="C703"/>
  <c r="E703"/>
  <c r="F703"/>
  <c r="A704"/>
  <c r="B704"/>
  <c r="C704"/>
  <c r="E704"/>
  <c r="F704"/>
  <c r="A705"/>
  <c r="B705"/>
  <c r="C705"/>
  <c r="E705"/>
  <c r="F705"/>
  <c r="A706"/>
  <c r="B706"/>
  <c r="C706"/>
  <c r="E706"/>
  <c r="F706"/>
  <c r="A707"/>
  <c r="B707"/>
  <c r="C707"/>
  <c r="E707"/>
  <c r="F707"/>
  <c r="A708"/>
  <c r="B708"/>
  <c r="C708"/>
  <c r="E708"/>
  <c r="F708"/>
  <c r="A709"/>
  <c r="B709"/>
  <c r="C709"/>
  <c r="E709"/>
  <c r="F709"/>
  <c r="A710"/>
  <c r="B710"/>
  <c r="C710"/>
  <c r="E710"/>
  <c r="F710"/>
  <c r="A711"/>
  <c r="B711"/>
  <c r="C711"/>
  <c r="E711"/>
  <c r="F711"/>
  <c r="A712"/>
  <c r="B712"/>
  <c r="C712"/>
  <c r="E712"/>
  <c r="F712"/>
  <c r="A713"/>
  <c r="B713"/>
  <c r="C713"/>
  <c r="E713"/>
  <c r="F713"/>
  <c r="A714"/>
  <c r="B714"/>
  <c r="C714"/>
  <c r="E714"/>
  <c r="F714"/>
  <c r="A715"/>
  <c r="B715"/>
  <c r="C715"/>
  <c r="E715"/>
  <c r="F715"/>
  <c r="A716"/>
  <c r="B716"/>
  <c r="C716"/>
  <c r="E716"/>
  <c r="F716"/>
  <c r="A717"/>
  <c r="B717"/>
  <c r="C717"/>
  <c r="E717"/>
  <c r="F717"/>
  <c r="A718"/>
  <c r="B718"/>
  <c r="C718"/>
  <c r="E718"/>
  <c r="F718"/>
  <c r="A719"/>
  <c r="B719"/>
  <c r="C719"/>
  <c r="E719"/>
  <c r="F719"/>
  <c r="A720"/>
  <c r="B720"/>
  <c r="C720"/>
  <c r="E720"/>
  <c r="F720"/>
  <c r="A721"/>
  <c r="B721"/>
  <c r="C721"/>
  <c r="E721"/>
  <c r="F721"/>
  <c r="A722"/>
  <c r="B722"/>
  <c r="C722"/>
  <c r="E722"/>
  <c r="F722"/>
  <c r="A723"/>
  <c r="B723"/>
  <c r="C723"/>
  <c r="E723"/>
  <c r="F723"/>
  <c r="A724"/>
  <c r="B724"/>
  <c r="C724"/>
  <c r="E724"/>
  <c r="F724"/>
  <c r="A725"/>
  <c r="B725"/>
  <c r="C725"/>
  <c r="E725"/>
  <c r="F725"/>
  <c r="A726"/>
  <c r="B726"/>
  <c r="C726"/>
  <c r="E726"/>
  <c r="F726"/>
  <c r="A727"/>
  <c r="B727"/>
  <c r="C727"/>
  <c r="E727"/>
  <c r="F727"/>
  <c r="A728"/>
  <c r="B728"/>
  <c r="C728"/>
  <c r="E728"/>
  <c r="F728"/>
  <c r="A729"/>
  <c r="B729"/>
  <c r="C729"/>
  <c r="E729"/>
  <c r="F729"/>
  <c r="A730"/>
  <c r="B730"/>
  <c r="C730"/>
  <c r="E730"/>
  <c r="F730"/>
  <c r="A731"/>
  <c r="B731"/>
  <c r="C731"/>
  <c r="E731"/>
  <c r="F731"/>
  <c r="A732"/>
  <c r="B732"/>
  <c r="C732"/>
  <c r="E732"/>
  <c r="F732"/>
  <c r="A733"/>
  <c r="B733"/>
  <c r="C733"/>
  <c r="E733"/>
  <c r="F733"/>
  <c r="A734"/>
  <c r="B734"/>
  <c r="C734"/>
  <c r="E734"/>
  <c r="F734"/>
  <c r="A735"/>
  <c r="B735"/>
  <c r="C735"/>
  <c r="E735"/>
  <c r="F735"/>
  <c r="A736"/>
  <c r="B736"/>
  <c r="C736"/>
  <c r="E736"/>
  <c r="F736"/>
  <c r="A737"/>
  <c r="B737"/>
  <c r="C737"/>
  <c r="E737"/>
  <c r="F737"/>
  <c r="A738"/>
  <c r="B738"/>
  <c r="C738"/>
  <c r="E738"/>
  <c r="F738"/>
  <c r="A739"/>
  <c r="B739"/>
  <c r="C739"/>
  <c r="E739"/>
  <c r="F739"/>
  <c r="A740"/>
  <c r="B740"/>
  <c r="C740"/>
  <c r="E740"/>
  <c r="F740"/>
  <c r="A741"/>
  <c r="B741"/>
  <c r="C741"/>
  <c r="E741"/>
  <c r="F741"/>
  <c r="A742"/>
  <c r="B742"/>
  <c r="C742"/>
  <c r="E742"/>
  <c r="F742"/>
  <c r="A743"/>
  <c r="B743"/>
  <c r="C743"/>
  <c r="E743"/>
  <c r="F743"/>
  <c r="A744"/>
  <c r="B744"/>
  <c r="C744"/>
  <c r="E744"/>
  <c r="F744"/>
  <c r="A745"/>
  <c r="B745"/>
  <c r="C745"/>
  <c r="E745"/>
  <c r="F745"/>
  <c r="A746"/>
  <c r="B746"/>
  <c r="C746"/>
  <c r="E746"/>
  <c r="F746"/>
  <c r="A747"/>
  <c r="B747"/>
  <c r="C747"/>
  <c r="E747"/>
  <c r="F747"/>
  <c r="A748"/>
  <c r="B748"/>
  <c r="C748"/>
  <c r="E748"/>
  <c r="F748"/>
  <c r="A749"/>
  <c r="B749"/>
  <c r="C749"/>
  <c r="E749"/>
  <c r="F749"/>
  <c r="A750"/>
  <c r="B750"/>
  <c r="C750"/>
  <c r="E750"/>
  <c r="F750"/>
  <c r="A751"/>
  <c r="B751"/>
  <c r="C751"/>
  <c r="E751"/>
  <c r="F751"/>
  <c r="A752"/>
  <c r="B752"/>
  <c r="C752"/>
  <c r="E752"/>
  <c r="F752"/>
  <c r="A753"/>
  <c r="B753"/>
  <c r="C753"/>
  <c r="E753"/>
  <c r="F753"/>
  <c r="A754"/>
  <c r="B754"/>
  <c r="C754"/>
  <c r="E754"/>
  <c r="F754"/>
  <c r="A755"/>
  <c r="B755"/>
  <c r="C755"/>
  <c r="E755"/>
  <c r="F755"/>
  <c r="A756"/>
  <c r="B756"/>
  <c r="C756"/>
  <c r="E756"/>
  <c r="F756"/>
  <c r="A757"/>
  <c r="B757"/>
  <c r="C757"/>
  <c r="E757"/>
  <c r="F757"/>
  <c r="A758"/>
  <c r="B758"/>
  <c r="C758"/>
  <c r="E758"/>
  <c r="F758"/>
  <c r="A759"/>
  <c r="B759"/>
  <c r="C759"/>
  <c r="E759"/>
  <c r="F759"/>
  <c r="A760"/>
  <c r="B760"/>
  <c r="C760"/>
  <c r="E760"/>
  <c r="F760"/>
  <c r="A761"/>
  <c r="B761"/>
  <c r="C761"/>
  <c r="E761"/>
  <c r="F761"/>
  <c r="A762"/>
  <c r="B762"/>
  <c r="C762"/>
  <c r="E762"/>
  <c r="F762"/>
  <c r="A763"/>
  <c r="B763"/>
  <c r="C763"/>
  <c r="E763"/>
  <c r="F763"/>
  <c r="A764"/>
  <c r="B764"/>
  <c r="C764"/>
  <c r="E764"/>
  <c r="F764"/>
  <c r="A765"/>
  <c r="B765"/>
  <c r="C765"/>
  <c r="E765"/>
  <c r="F765"/>
  <c r="A766"/>
  <c r="B766"/>
  <c r="C766"/>
  <c r="E766"/>
  <c r="F766"/>
  <c r="A767"/>
  <c r="B767"/>
  <c r="C767"/>
  <c r="E767"/>
  <c r="F767"/>
  <c r="A768"/>
  <c r="B768"/>
  <c r="C768"/>
  <c r="E768"/>
  <c r="F768"/>
  <c r="A769"/>
  <c r="B769"/>
  <c r="C769"/>
  <c r="E769"/>
  <c r="F769"/>
  <c r="A770"/>
  <c r="B770"/>
  <c r="C770"/>
  <c r="E770"/>
  <c r="F770"/>
  <c r="A771"/>
  <c r="B771"/>
  <c r="C771"/>
  <c r="E771"/>
  <c r="F771"/>
  <c r="A772"/>
  <c r="B772"/>
  <c r="C772"/>
  <c r="E772"/>
  <c r="F772"/>
  <c r="A773"/>
  <c r="B773"/>
  <c r="C773"/>
  <c r="E773"/>
  <c r="F773"/>
  <c r="A774"/>
  <c r="B774"/>
  <c r="C774"/>
  <c r="E774"/>
  <c r="F774"/>
  <c r="A775"/>
  <c r="B775"/>
  <c r="C775"/>
  <c r="E775"/>
  <c r="F775"/>
  <c r="A776"/>
  <c r="B776"/>
  <c r="C776"/>
  <c r="E776"/>
  <c r="F776"/>
  <c r="A777"/>
  <c r="B777"/>
  <c r="C777"/>
  <c r="E777"/>
  <c r="F777"/>
  <c r="A778"/>
  <c r="B778"/>
  <c r="C778"/>
  <c r="E778"/>
  <c r="F778"/>
  <c r="A779"/>
  <c r="B779"/>
  <c r="C779"/>
  <c r="E779"/>
  <c r="F779"/>
  <c r="A780"/>
  <c r="B780"/>
  <c r="C780"/>
  <c r="E780"/>
  <c r="F780"/>
  <c r="A781"/>
  <c r="B781"/>
  <c r="C781"/>
  <c r="E781"/>
  <c r="F781"/>
  <c r="A782"/>
  <c r="B782"/>
  <c r="C782"/>
  <c r="E782"/>
  <c r="F782"/>
  <c r="A783"/>
  <c r="B783"/>
  <c r="C783"/>
  <c r="E783"/>
  <c r="F783"/>
  <c r="A784"/>
  <c r="B784"/>
  <c r="C784"/>
  <c r="E784"/>
  <c r="F784"/>
  <c r="A785"/>
  <c r="B785"/>
  <c r="C785"/>
  <c r="E785"/>
  <c r="F785"/>
  <c r="A786"/>
  <c r="B786"/>
  <c r="C786"/>
  <c r="E786"/>
  <c r="F786"/>
  <c r="A787"/>
  <c r="B787"/>
  <c r="C787"/>
  <c r="E787"/>
  <c r="F787"/>
  <c r="A788"/>
  <c r="B788"/>
  <c r="C788"/>
  <c r="E788"/>
  <c r="F788"/>
  <c r="A789"/>
  <c r="B789"/>
  <c r="C789"/>
  <c r="E789"/>
  <c r="F789"/>
  <c r="A790"/>
  <c r="B790"/>
  <c r="C790"/>
  <c r="E790"/>
  <c r="F790"/>
  <c r="A791"/>
  <c r="B791"/>
  <c r="C791"/>
  <c r="E791"/>
  <c r="F791"/>
  <c r="A792"/>
  <c r="B792"/>
  <c r="C792"/>
  <c r="E792"/>
  <c r="F792"/>
  <c r="A793"/>
  <c r="B793"/>
  <c r="C793"/>
  <c r="E793"/>
  <c r="F793"/>
  <c r="A794"/>
  <c r="B794"/>
  <c r="C794"/>
  <c r="E794"/>
  <c r="F794"/>
  <c r="A795"/>
  <c r="B795"/>
  <c r="C795"/>
  <c r="E795"/>
  <c r="F795"/>
  <c r="A796"/>
  <c r="B796"/>
  <c r="C796"/>
  <c r="E796"/>
  <c r="F796"/>
  <c r="A797"/>
  <c r="B797"/>
  <c r="C797"/>
  <c r="E797"/>
  <c r="F797"/>
  <c r="A798"/>
  <c r="B798"/>
  <c r="C798"/>
  <c r="E798"/>
  <c r="F798"/>
  <c r="A799"/>
  <c r="B799"/>
  <c r="C799"/>
  <c r="E799"/>
  <c r="F799"/>
  <c r="A800"/>
  <c r="B800"/>
  <c r="C800"/>
  <c r="E800"/>
  <c r="F800"/>
  <c r="A801"/>
  <c r="B801"/>
  <c r="C801"/>
  <c r="E801"/>
  <c r="F801"/>
  <c r="A802"/>
  <c r="B802"/>
  <c r="C802"/>
  <c r="E802"/>
  <c r="F802"/>
  <c r="A803"/>
  <c r="B803"/>
  <c r="C803"/>
  <c r="E803"/>
  <c r="F803"/>
  <c r="A804"/>
  <c r="B804"/>
  <c r="C804"/>
  <c r="E804"/>
  <c r="F804"/>
  <c r="A805"/>
  <c r="B805"/>
  <c r="C805"/>
  <c r="E805"/>
  <c r="F805"/>
  <c r="A806"/>
  <c r="B806"/>
  <c r="C806"/>
  <c r="E806"/>
  <c r="F806"/>
  <c r="A807"/>
  <c r="B807"/>
  <c r="C807"/>
  <c r="E807"/>
  <c r="F807"/>
  <c r="A808"/>
  <c r="B808"/>
  <c r="C808"/>
  <c r="E808"/>
  <c r="F808"/>
  <c r="A809"/>
  <c r="B809"/>
  <c r="C809"/>
  <c r="E809"/>
  <c r="F809"/>
  <c r="A810"/>
  <c r="B810"/>
  <c r="C810"/>
  <c r="E810"/>
  <c r="F810"/>
  <c r="A811"/>
  <c r="B811"/>
  <c r="C811"/>
  <c r="E811"/>
  <c r="F811"/>
  <c r="A812"/>
  <c r="B812"/>
  <c r="C812"/>
  <c r="E812"/>
  <c r="F812"/>
  <c r="A813"/>
  <c r="B813"/>
  <c r="C813"/>
  <c r="E813"/>
  <c r="F813"/>
  <c r="A814"/>
  <c r="B814"/>
  <c r="C814"/>
  <c r="E814"/>
  <c r="F814"/>
  <c r="A815"/>
  <c r="B815"/>
  <c r="C815"/>
  <c r="E815"/>
  <c r="F815"/>
  <c r="A816"/>
  <c r="B816"/>
  <c r="C816"/>
  <c r="E816"/>
  <c r="F816"/>
  <c r="A817"/>
  <c r="B817"/>
  <c r="C817"/>
  <c r="E817"/>
  <c r="F817"/>
  <c r="A818"/>
  <c r="B818"/>
  <c r="C818"/>
  <c r="E818"/>
  <c r="F818"/>
  <c r="A819"/>
  <c r="B819"/>
  <c r="C819"/>
  <c r="E819"/>
  <c r="F819"/>
  <c r="A820"/>
  <c r="B820"/>
  <c r="C820"/>
  <c r="E820"/>
  <c r="F820"/>
  <c r="A821"/>
  <c r="B821"/>
  <c r="C821"/>
  <c r="E821"/>
  <c r="F821"/>
  <c r="A822"/>
  <c r="B822"/>
  <c r="C822"/>
  <c r="E822"/>
  <c r="F822"/>
  <c r="A823"/>
  <c r="B823"/>
  <c r="C823"/>
  <c r="E823"/>
  <c r="F823"/>
  <c r="A824"/>
  <c r="B824"/>
  <c r="C824"/>
  <c r="E824"/>
  <c r="F824"/>
  <c r="A825"/>
  <c r="B825"/>
  <c r="C825"/>
  <c r="E825"/>
  <c r="F825"/>
  <c r="A826"/>
  <c r="B826"/>
  <c r="C826"/>
  <c r="E826"/>
  <c r="F826"/>
  <c r="A827"/>
  <c r="B827"/>
  <c r="C827"/>
  <c r="E827"/>
  <c r="F827"/>
  <c r="A828"/>
  <c r="B828"/>
  <c r="C828"/>
  <c r="E828"/>
  <c r="F828"/>
  <c r="A829"/>
  <c r="B829"/>
  <c r="C829"/>
  <c r="E829"/>
  <c r="F829"/>
  <c r="A830"/>
  <c r="B830"/>
  <c r="C830"/>
  <c r="E830"/>
  <c r="F830"/>
  <c r="A831"/>
  <c r="B831"/>
  <c r="C831"/>
  <c r="E831"/>
  <c r="F831"/>
  <c r="A832"/>
  <c r="B832"/>
  <c r="C832"/>
  <c r="E832"/>
  <c r="F832"/>
  <c r="A833"/>
  <c r="B833"/>
  <c r="C833"/>
  <c r="E833"/>
  <c r="F833"/>
  <c r="A834"/>
  <c r="B834"/>
  <c r="C834"/>
  <c r="E834"/>
  <c r="F834"/>
  <c r="A835"/>
  <c r="B835"/>
  <c r="C835"/>
  <c r="E835"/>
  <c r="F835"/>
  <c r="A836"/>
  <c r="B836"/>
  <c r="C836"/>
  <c r="E836"/>
  <c r="F836"/>
  <c r="A837"/>
  <c r="B837"/>
  <c r="C837"/>
  <c r="E837"/>
  <c r="F837"/>
  <c r="A838"/>
  <c r="B838"/>
  <c r="C838"/>
  <c r="E838"/>
  <c r="F838"/>
  <c r="A839"/>
  <c r="B839"/>
  <c r="C839"/>
  <c r="E839"/>
  <c r="F839"/>
  <c r="A840"/>
  <c r="B840"/>
  <c r="C840"/>
  <c r="E840"/>
  <c r="F840"/>
  <c r="A841"/>
  <c r="B841"/>
  <c r="C841"/>
  <c r="E841"/>
  <c r="F841"/>
  <c r="A842"/>
  <c r="B842"/>
  <c r="C842"/>
  <c r="E842"/>
  <c r="F842"/>
  <c r="A843"/>
  <c r="B843"/>
  <c r="C843"/>
  <c r="E843"/>
  <c r="F843"/>
  <c r="A844"/>
  <c r="B844"/>
  <c r="C844"/>
  <c r="E844"/>
  <c r="F844"/>
  <c r="A845"/>
  <c r="B845"/>
  <c r="C845"/>
  <c r="E845"/>
  <c r="F845"/>
  <c r="A846"/>
  <c r="B846"/>
  <c r="C846"/>
  <c r="E846"/>
  <c r="F846"/>
  <c r="A847"/>
  <c r="B847"/>
  <c r="C847"/>
  <c r="E847"/>
  <c r="F847"/>
  <c r="A848"/>
  <c r="B848"/>
  <c r="C848"/>
  <c r="E848"/>
  <c r="F848"/>
  <c r="A849"/>
  <c r="B849"/>
  <c r="C849"/>
  <c r="E849"/>
  <c r="F849"/>
  <c r="A850"/>
  <c r="B850"/>
  <c r="C850"/>
  <c r="E850"/>
  <c r="F850"/>
  <c r="A851"/>
  <c r="B851"/>
  <c r="C851"/>
  <c r="E851"/>
  <c r="F851"/>
  <c r="A852"/>
  <c r="B852"/>
  <c r="C852"/>
  <c r="E852"/>
  <c r="F852"/>
  <c r="A853"/>
  <c r="B853"/>
  <c r="C853"/>
  <c r="E853"/>
  <c r="F853"/>
  <c r="A854"/>
  <c r="B854"/>
  <c r="C854"/>
  <c r="E854"/>
  <c r="F854"/>
  <c r="A855"/>
  <c r="B855"/>
  <c r="C855"/>
  <c r="E855"/>
  <c r="F855"/>
  <c r="A856"/>
  <c r="B856"/>
  <c r="C856"/>
  <c r="E856"/>
  <c r="F856"/>
  <c r="A857"/>
  <c r="B857"/>
  <c r="C857"/>
  <c r="E857"/>
  <c r="F857"/>
  <c r="A858"/>
  <c r="B858"/>
  <c r="C858"/>
  <c r="E858"/>
  <c r="F858"/>
  <c r="A859"/>
  <c r="B859"/>
  <c r="C859"/>
  <c r="E859"/>
  <c r="F859"/>
  <c r="A860"/>
  <c r="B860"/>
  <c r="C860"/>
  <c r="E860"/>
  <c r="F860"/>
  <c r="A861"/>
  <c r="B861"/>
  <c r="C861"/>
  <c r="E861"/>
  <c r="F861"/>
  <c r="A862"/>
  <c r="B862"/>
  <c r="C862"/>
  <c r="E862"/>
  <c r="F862"/>
  <c r="A863"/>
  <c r="B863"/>
  <c r="C863"/>
  <c r="E863"/>
  <c r="F863"/>
  <c r="A864"/>
  <c r="B864"/>
  <c r="C864"/>
  <c r="E864"/>
  <c r="F864"/>
  <c r="A865"/>
  <c r="B865"/>
  <c r="C865"/>
  <c r="E865"/>
  <c r="F865"/>
  <c r="A866"/>
  <c r="B866"/>
  <c r="C866"/>
  <c r="E866"/>
  <c r="F866"/>
  <c r="A867"/>
  <c r="B867"/>
  <c r="C867"/>
  <c r="E867"/>
  <c r="F867"/>
  <c r="A868"/>
  <c r="B868"/>
  <c r="C868"/>
  <c r="E868"/>
  <c r="F868"/>
  <c r="A869"/>
  <c r="B869"/>
  <c r="C869"/>
  <c r="E869"/>
  <c r="F869"/>
  <c r="A870"/>
  <c r="B870"/>
  <c r="C870"/>
  <c r="E870"/>
  <c r="F870"/>
  <c r="A871"/>
  <c r="B871"/>
  <c r="C871"/>
  <c r="E871"/>
  <c r="F871"/>
  <c r="A872"/>
  <c r="B872"/>
  <c r="C872"/>
  <c r="E872"/>
  <c r="F872"/>
  <c r="A873"/>
  <c r="B873"/>
  <c r="C873"/>
  <c r="E873"/>
  <c r="F873"/>
  <c r="A874"/>
  <c r="B874"/>
  <c r="C874"/>
  <c r="E874"/>
  <c r="F874"/>
  <c r="A875"/>
  <c r="B875"/>
  <c r="C875"/>
  <c r="E875"/>
  <c r="F875"/>
  <c r="A876"/>
  <c r="B876"/>
  <c r="C876"/>
  <c r="E876"/>
  <c r="F876"/>
  <c r="A877"/>
  <c r="B877"/>
  <c r="C877"/>
  <c r="E877"/>
  <c r="F877"/>
  <c r="A878"/>
  <c r="B878"/>
  <c r="C878"/>
  <c r="E878"/>
  <c r="F878"/>
  <c r="A879"/>
  <c r="B879"/>
  <c r="C879"/>
  <c r="E879"/>
  <c r="F879"/>
  <c r="A880"/>
  <c r="B880"/>
  <c r="C880"/>
  <c r="E880"/>
  <c r="F880"/>
  <c r="A881"/>
  <c r="B881"/>
  <c r="C881"/>
  <c r="E881"/>
  <c r="F881"/>
  <c r="A882"/>
  <c r="B882"/>
  <c r="C882"/>
  <c r="E882"/>
  <c r="F882"/>
  <c r="A883"/>
  <c r="B883"/>
  <c r="C883"/>
  <c r="E883"/>
  <c r="F883"/>
  <c r="A884"/>
  <c r="B884"/>
  <c r="C884"/>
  <c r="E884"/>
  <c r="F884"/>
  <c r="A885"/>
  <c r="B885"/>
  <c r="C885"/>
  <c r="E885"/>
  <c r="F885"/>
  <c r="A886"/>
  <c r="B886"/>
  <c r="C886"/>
  <c r="E886"/>
  <c r="F886"/>
  <c r="A887"/>
  <c r="B887"/>
  <c r="C887"/>
  <c r="E887"/>
  <c r="F887"/>
  <c r="A888"/>
  <c r="B888"/>
  <c r="C888"/>
  <c r="E888"/>
  <c r="F888"/>
  <c r="A889"/>
  <c r="B889"/>
  <c r="C889"/>
  <c r="E889"/>
  <c r="F889"/>
  <c r="A890"/>
  <c r="B890"/>
  <c r="C890"/>
  <c r="E890"/>
  <c r="F890"/>
  <c r="A891"/>
  <c r="B891"/>
  <c r="C891"/>
  <c r="E891"/>
  <c r="F891"/>
  <c r="A892"/>
  <c r="B892"/>
  <c r="C892"/>
  <c r="E892"/>
  <c r="F892"/>
  <c r="A893"/>
  <c r="B893"/>
  <c r="C893"/>
  <c r="E893"/>
  <c r="F893"/>
  <c r="A894"/>
  <c r="B894"/>
  <c r="C894"/>
  <c r="E894"/>
  <c r="F894"/>
  <c r="A895"/>
  <c r="B895"/>
  <c r="C895"/>
  <c r="E895"/>
  <c r="F895"/>
  <c r="A896"/>
  <c r="B896"/>
  <c r="C896"/>
  <c r="E896"/>
  <c r="F896"/>
  <c r="A897"/>
  <c r="B897"/>
  <c r="C897"/>
  <c r="E897"/>
  <c r="F897"/>
  <c r="A898"/>
  <c r="B898"/>
  <c r="C898"/>
  <c r="E898"/>
  <c r="F898"/>
  <c r="A899"/>
  <c r="B899"/>
  <c r="C899"/>
  <c r="E899"/>
  <c r="F899"/>
  <c r="A900"/>
  <c r="B900"/>
  <c r="C900"/>
  <c r="E900"/>
  <c r="F900"/>
  <c r="A901"/>
  <c r="B901"/>
  <c r="C901"/>
  <c r="E901"/>
  <c r="F901"/>
  <c r="A902"/>
  <c r="B902"/>
  <c r="C902"/>
  <c r="E902"/>
  <c r="F902"/>
  <c r="A903"/>
  <c r="B903"/>
  <c r="C903"/>
  <c r="E903"/>
  <c r="F903"/>
  <c r="A904"/>
  <c r="B904"/>
  <c r="C904"/>
  <c r="E904"/>
  <c r="F904"/>
  <c r="A905"/>
  <c r="B905"/>
  <c r="C905"/>
  <c r="E905"/>
  <c r="F905"/>
  <c r="A906"/>
  <c r="B906"/>
  <c r="C906"/>
  <c r="E906"/>
  <c r="F906"/>
  <c r="A907"/>
  <c r="B907"/>
  <c r="C907"/>
  <c r="E907"/>
  <c r="F907"/>
  <c r="A908"/>
  <c r="B908"/>
  <c r="C908"/>
  <c r="E908"/>
  <c r="F908"/>
  <c r="A909"/>
  <c r="B909"/>
  <c r="C909"/>
  <c r="E909"/>
  <c r="F909"/>
  <c r="A910"/>
  <c r="B910"/>
  <c r="C910"/>
  <c r="E910"/>
  <c r="F910"/>
  <c r="A911"/>
  <c r="B911"/>
  <c r="C911"/>
  <c r="E911"/>
  <c r="F911"/>
  <c r="A912"/>
  <c r="B912"/>
  <c r="C912"/>
  <c r="E912"/>
  <c r="F912"/>
  <c r="A913"/>
  <c r="B913"/>
  <c r="C913"/>
  <c r="E913"/>
  <c r="F913"/>
  <c r="A914"/>
  <c r="B914"/>
  <c r="C914"/>
  <c r="E914"/>
  <c r="F914"/>
  <c r="A915"/>
  <c r="B915"/>
  <c r="C915"/>
  <c r="E915"/>
  <c r="F915"/>
  <c r="A916"/>
  <c r="B916"/>
  <c r="C916"/>
  <c r="E916"/>
  <c r="F916"/>
  <c r="A917"/>
  <c r="B917"/>
  <c r="C917"/>
  <c r="E917"/>
  <c r="F917"/>
  <c r="A918"/>
  <c r="B918"/>
  <c r="C918"/>
  <c r="E918"/>
  <c r="F918"/>
  <c r="A919"/>
  <c r="B919"/>
  <c r="C919"/>
  <c r="E919"/>
  <c r="F919"/>
  <c r="A920"/>
  <c r="B920"/>
  <c r="C920"/>
  <c r="E920"/>
  <c r="F920"/>
  <c r="A921"/>
  <c r="B921"/>
  <c r="C921"/>
  <c r="E921"/>
  <c r="F921"/>
  <c r="A922"/>
  <c r="B922"/>
  <c r="C922"/>
  <c r="E922"/>
  <c r="F922"/>
  <c r="A923"/>
  <c r="B923"/>
  <c r="C923"/>
  <c r="E923"/>
  <c r="F923"/>
  <c r="A924"/>
  <c r="B924"/>
  <c r="C924"/>
  <c r="E924"/>
  <c r="F924"/>
  <c r="A925"/>
  <c r="B925"/>
  <c r="C925"/>
  <c r="E925"/>
  <c r="F925"/>
  <c r="A926"/>
  <c r="B926"/>
  <c r="C926"/>
  <c r="E926"/>
  <c r="F926"/>
  <c r="A927"/>
  <c r="B927"/>
  <c r="C927"/>
  <c r="E927"/>
  <c r="F927"/>
  <c r="A928"/>
  <c r="B928"/>
  <c r="C928"/>
  <c r="E928"/>
  <c r="F928"/>
  <c r="A929"/>
  <c r="B929"/>
  <c r="C929"/>
  <c r="E929"/>
  <c r="F929"/>
  <c r="A930"/>
  <c r="B930"/>
  <c r="C930"/>
  <c r="E930"/>
  <c r="F930"/>
  <c r="A931"/>
  <c r="B931"/>
  <c r="C931"/>
  <c r="E931"/>
  <c r="F931"/>
  <c r="A932"/>
  <c r="B932"/>
  <c r="C932"/>
  <c r="E932"/>
  <c r="F932"/>
  <c r="A933"/>
  <c r="B933"/>
  <c r="C933"/>
  <c r="E933"/>
  <c r="F933"/>
  <c r="A934"/>
  <c r="B934"/>
  <c r="C934"/>
  <c r="E934"/>
  <c r="F934"/>
  <c r="A935"/>
  <c r="B935"/>
  <c r="C935"/>
  <c r="E935"/>
  <c r="F935"/>
  <c r="A936"/>
  <c r="B936"/>
  <c r="C936"/>
  <c r="E936"/>
  <c r="F936"/>
  <c r="A937"/>
  <c r="B937"/>
  <c r="C937"/>
  <c r="E937"/>
  <c r="F937"/>
  <c r="A938"/>
  <c r="B938"/>
  <c r="C938"/>
  <c r="E938"/>
  <c r="F938"/>
  <c r="A939"/>
  <c r="B939"/>
  <c r="C939"/>
  <c r="E939"/>
  <c r="F939"/>
  <c r="A940"/>
  <c r="B940"/>
  <c r="C940"/>
  <c r="E940"/>
  <c r="F940"/>
  <c r="A941"/>
  <c r="B941"/>
  <c r="C941"/>
  <c r="E941"/>
  <c r="F941"/>
  <c r="A942"/>
  <c r="B942"/>
  <c r="C942"/>
  <c r="E942"/>
  <c r="F942"/>
  <c r="A943"/>
  <c r="B943"/>
  <c r="C943"/>
  <c r="E943"/>
  <c r="F943"/>
  <c r="A944"/>
  <c r="B944"/>
  <c r="C944"/>
  <c r="E944"/>
  <c r="F944"/>
  <c r="A945"/>
  <c r="B945"/>
  <c r="C945"/>
  <c r="E945"/>
  <c r="F945"/>
  <c r="A946"/>
  <c r="B946"/>
  <c r="C946"/>
  <c r="E946"/>
  <c r="F946"/>
  <c r="A947"/>
  <c r="B947"/>
  <c r="C947"/>
  <c r="E947"/>
  <c r="F947"/>
  <c r="A948"/>
  <c r="B948"/>
  <c r="C948"/>
  <c r="E948"/>
  <c r="F948"/>
  <c r="A949"/>
  <c r="B949"/>
  <c r="C949"/>
  <c r="E949"/>
  <c r="F949"/>
  <c r="A950"/>
  <c r="B950"/>
  <c r="C950"/>
  <c r="E950"/>
  <c r="F950"/>
  <c r="A951"/>
  <c r="B951"/>
  <c r="C951"/>
  <c r="E951"/>
  <c r="F951"/>
  <c r="A952"/>
  <c r="B952"/>
  <c r="C952"/>
  <c r="E952"/>
  <c r="F952"/>
  <c r="A953"/>
  <c r="B953"/>
  <c r="C953"/>
  <c r="E953"/>
  <c r="F953"/>
  <c r="A954"/>
  <c r="B954"/>
  <c r="C954"/>
  <c r="E954"/>
  <c r="F954"/>
  <c r="A955"/>
  <c r="B955"/>
  <c r="C955"/>
  <c r="E955"/>
  <c r="F955"/>
  <c r="A956"/>
  <c r="B956"/>
  <c r="C956"/>
  <c r="E956"/>
  <c r="F956"/>
  <c r="A957"/>
  <c r="B957"/>
  <c r="C957"/>
  <c r="E957"/>
  <c r="F957"/>
  <c r="A958"/>
  <c r="B958"/>
  <c r="C958"/>
  <c r="E958"/>
  <c r="F958"/>
  <c r="A959"/>
  <c r="B959"/>
  <c r="C959"/>
  <c r="E959"/>
  <c r="F959"/>
  <c r="A960"/>
  <c r="B960"/>
  <c r="C960"/>
  <c r="E960"/>
  <c r="F960"/>
  <c r="A961"/>
  <c r="B961"/>
  <c r="C961"/>
  <c r="E961"/>
  <c r="F961"/>
  <c r="A962"/>
  <c r="B962"/>
  <c r="C962"/>
  <c r="E962"/>
  <c r="F962"/>
  <c r="A963"/>
  <c r="B963"/>
  <c r="C963"/>
  <c r="E963"/>
  <c r="F963"/>
  <c r="A964"/>
  <c r="B964"/>
  <c r="C964"/>
  <c r="E964"/>
  <c r="F964"/>
  <c r="A965"/>
  <c r="B965"/>
  <c r="C965"/>
  <c r="E965"/>
  <c r="F965"/>
  <c r="A966"/>
  <c r="B966"/>
  <c r="C966"/>
  <c r="E966"/>
  <c r="F966"/>
  <c r="A967"/>
  <c r="B967"/>
  <c r="C967"/>
  <c r="E967"/>
  <c r="F967"/>
  <c r="A968"/>
  <c r="B968"/>
  <c r="C968"/>
  <c r="E968"/>
  <c r="F968"/>
  <c r="A969"/>
  <c r="B969"/>
  <c r="C969"/>
  <c r="E969"/>
  <c r="F969"/>
  <c r="A970"/>
  <c r="B970"/>
  <c r="C970"/>
  <c r="E970"/>
  <c r="F970"/>
  <c r="A971"/>
  <c r="B971"/>
  <c r="C971"/>
  <c r="E971"/>
  <c r="F971"/>
  <c r="A972"/>
  <c r="B972"/>
  <c r="C972"/>
  <c r="E972"/>
  <c r="F972"/>
  <c r="A973"/>
  <c r="B973"/>
  <c r="C973"/>
  <c r="E973"/>
  <c r="F973"/>
  <c r="A974"/>
  <c r="B974"/>
  <c r="C974"/>
  <c r="E974"/>
  <c r="F974"/>
  <c r="A975"/>
  <c r="B975"/>
  <c r="C975"/>
  <c r="E975"/>
  <c r="F975"/>
  <c r="A976"/>
  <c r="B976"/>
  <c r="C976"/>
  <c r="E976"/>
  <c r="F976"/>
  <c r="A977"/>
  <c r="B977"/>
  <c r="C977"/>
  <c r="E977"/>
  <c r="F977"/>
  <c r="A978"/>
  <c r="B978"/>
  <c r="C978"/>
  <c r="E978"/>
  <c r="F978"/>
  <c r="A979"/>
  <c r="B979"/>
  <c r="C979"/>
  <c r="E979"/>
  <c r="F979"/>
  <c r="A980"/>
  <c r="B980"/>
  <c r="C980"/>
  <c r="E980"/>
  <c r="F980"/>
  <c r="A981"/>
  <c r="B981"/>
  <c r="C981"/>
  <c r="E981"/>
  <c r="F981"/>
  <c r="A982"/>
  <c r="B982"/>
  <c r="C982"/>
  <c r="E982"/>
  <c r="F982"/>
  <c r="A983"/>
  <c r="B983"/>
  <c r="C983"/>
  <c r="E983"/>
  <c r="F983"/>
  <c r="A984"/>
  <c r="B984"/>
  <c r="C984"/>
  <c r="E984"/>
  <c r="F984"/>
  <c r="A985"/>
  <c r="B985"/>
  <c r="C985"/>
  <c r="E985"/>
  <c r="F985"/>
  <c r="A986"/>
  <c r="B986"/>
  <c r="C986"/>
  <c r="E986"/>
  <c r="F986"/>
  <c r="A987"/>
  <c r="B987"/>
  <c r="C987"/>
  <c r="E987"/>
  <c r="F987"/>
  <c r="A988"/>
  <c r="B988"/>
  <c r="C988"/>
  <c r="E988"/>
  <c r="F988"/>
  <c r="A989"/>
  <c r="B989"/>
  <c r="C989"/>
  <c r="E989"/>
  <c r="F989"/>
  <c r="A990"/>
  <c r="B990"/>
  <c r="C990"/>
  <c r="E990"/>
  <c r="F990"/>
  <c r="A991"/>
  <c r="B991"/>
  <c r="C991"/>
  <c r="E991"/>
  <c r="F991"/>
  <c r="A992"/>
  <c r="B992"/>
  <c r="C992"/>
  <c r="E992"/>
  <c r="F992"/>
  <c r="A993"/>
  <c r="B993"/>
  <c r="C993"/>
  <c r="E993"/>
  <c r="F993"/>
  <c r="A994"/>
  <c r="B994"/>
  <c r="C994"/>
  <c r="E994"/>
  <c r="F994"/>
  <c r="A995"/>
  <c r="B995"/>
  <c r="C995"/>
  <c r="E995"/>
  <c r="F995"/>
  <c r="A996"/>
  <c r="B996"/>
  <c r="C996"/>
  <c r="E996"/>
  <c r="F996"/>
  <c r="A997"/>
  <c r="B997"/>
  <c r="C997"/>
  <c r="E997"/>
  <c r="F997"/>
  <c r="A998"/>
  <c r="B998"/>
  <c r="C998"/>
  <c r="E998"/>
  <c r="F998"/>
  <c r="A999"/>
  <c r="B999"/>
  <c r="C999"/>
  <c r="E999"/>
  <c r="F999"/>
  <c r="A1000"/>
  <c r="B1000"/>
  <c r="C1000"/>
  <c r="E1000"/>
  <c r="F1000"/>
  <c r="A1001"/>
  <c r="B1001"/>
  <c r="C1001"/>
  <c r="E1001"/>
  <c r="F1001"/>
  <c r="A1002"/>
  <c r="B1002"/>
  <c r="C1002"/>
  <c r="E1002"/>
  <c r="F1002"/>
  <c r="A1003"/>
  <c r="B1003"/>
  <c r="C1003"/>
  <c r="E1003"/>
  <c r="F1003"/>
  <c r="A1004"/>
  <c r="B1004"/>
  <c r="C1004"/>
  <c r="E1004"/>
  <c r="F1004"/>
  <c r="A1005"/>
  <c r="B1005"/>
  <c r="C1005"/>
  <c r="E1005"/>
  <c r="F1005"/>
  <c r="A1006"/>
  <c r="B1006"/>
  <c r="C1006"/>
  <c r="E1006"/>
  <c r="F1006"/>
  <c r="A1007"/>
  <c r="B1007"/>
  <c r="C1007"/>
  <c r="E1007"/>
  <c r="F1007"/>
  <c r="A1008"/>
  <c r="B1008"/>
  <c r="C1008"/>
  <c r="E1008"/>
  <c r="F1008"/>
  <c r="A1009"/>
  <c r="B1009"/>
  <c r="C1009"/>
  <c r="E1009"/>
  <c r="F1009"/>
  <c r="A1010"/>
  <c r="B1010"/>
  <c r="C1010"/>
  <c r="E1010"/>
  <c r="F1010"/>
  <c r="A1011"/>
  <c r="B1011"/>
  <c r="C1011"/>
  <c r="E1011"/>
  <c r="F1011"/>
  <c r="A1012"/>
  <c r="B1012"/>
  <c r="C1012"/>
  <c r="E1012"/>
  <c r="F1012"/>
  <c r="A1013"/>
  <c r="B1013"/>
  <c r="C1013"/>
  <c r="E1013"/>
  <c r="F1013"/>
  <c r="A1014"/>
  <c r="B1014"/>
  <c r="C1014"/>
  <c r="E1014"/>
  <c r="F1014"/>
  <c r="A1015"/>
  <c r="B1015"/>
  <c r="C1015"/>
  <c r="E1015"/>
  <c r="F1015"/>
  <c r="A1016"/>
  <c r="B1016"/>
  <c r="C1016"/>
  <c r="E1016"/>
  <c r="F1016"/>
  <c r="A1017"/>
  <c r="B1017"/>
  <c r="C1017"/>
  <c r="E1017"/>
  <c r="F1017"/>
  <c r="A1" i="7"/>
  <c r="B1"/>
  <c r="C1"/>
  <c r="D1"/>
  <c r="E1"/>
  <c r="F1"/>
  <c r="A2"/>
  <c r="B2"/>
  <c r="C2"/>
  <c r="E2"/>
  <c r="F2"/>
  <c r="A3"/>
  <c r="B3"/>
  <c r="C3"/>
  <c r="E3"/>
  <c r="F3"/>
  <c r="A4"/>
  <c r="B4"/>
  <c r="C4"/>
  <c r="E4"/>
  <c r="F4"/>
  <c r="A5"/>
  <c r="B5"/>
  <c r="C5"/>
  <c r="E5"/>
  <c r="F5"/>
  <c r="A6"/>
  <c r="B6"/>
  <c r="C6"/>
  <c r="E6"/>
  <c r="F6"/>
  <c r="A7"/>
  <c r="B7"/>
  <c r="C7"/>
  <c r="E7"/>
  <c r="F7"/>
  <c r="A8"/>
  <c r="B8"/>
  <c r="C8"/>
  <c r="E8"/>
  <c r="F8"/>
  <c r="A9"/>
  <c r="B9"/>
  <c r="C9"/>
  <c r="E9"/>
  <c r="F9"/>
  <c r="A10"/>
  <c r="B10"/>
  <c r="C10"/>
  <c r="E10"/>
  <c r="F10"/>
  <c r="A11"/>
  <c r="B11"/>
  <c r="C11"/>
  <c r="E11"/>
  <c r="F11"/>
  <c r="A12"/>
  <c r="B12"/>
  <c r="C12"/>
  <c r="E12"/>
  <c r="F12"/>
  <c r="A13"/>
  <c r="B13"/>
  <c r="C13"/>
  <c r="E13"/>
  <c r="F13"/>
  <c r="A14"/>
  <c r="B14"/>
  <c r="C14"/>
  <c r="E14"/>
  <c r="F14"/>
  <c r="A15"/>
  <c r="B15"/>
  <c r="C15"/>
  <c r="E15"/>
  <c r="F15"/>
  <c r="A16"/>
  <c r="B16"/>
  <c r="C16"/>
  <c r="E16"/>
  <c r="F16"/>
  <c r="A17"/>
  <c r="B17"/>
  <c r="C17"/>
  <c r="E17"/>
  <c r="F17"/>
  <c r="A18"/>
  <c r="B18"/>
  <c r="C18"/>
  <c r="E18"/>
  <c r="F18"/>
  <c r="A19"/>
  <c r="B19"/>
  <c r="C19"/>
  <c r="E19"/>
  <c r="F19"/>
  <c r="A20"/>
  <c r="B20"/>
  <c r="C20"/>
  <c r="E20"/>
  <c r="F20"/>
  <c r="A21"/>
  <c r="B21"/>
  <c r="C21"/>
  <c r="E21"/>
  <c r="F21"/>
  <c r="A22"/>
  <c r="B22"/>
  <c r="C22"/>
  <c r="E22"/>
  <c r="F22"/>
  <c r="A23"/>
  <c r="B23"/>
  <c r="C23"/>
  <c r="E23"/>
  <c r="F23"/>
  <c r="A24"/>
  <c r="B24"/>
  <c r="C24"/>
  <c r="E24"/>
  <c r="F24"/>
  <c r="A25"/>
  <c r="B25"/>
  <c r="C25"/>
  <c r="E25"/>
  <c r="F25"/>
  <c r="A26"/>
  <c r="B26"/>
  <c r="C26"/>
  <c r="E26"/>
  <c r="F26"/>
  <c r="A27"/>
  <c r="B27"/>
  <c r="C27"/>
  <c r="E27"/>
  <c r="F27"/>
  <c r="A28"/>
  <c r="B28"/>
  <c r="C28"/>
  <c r="E28"/>
  <c r="F28"/>
  <c r="A29"/>
  <c r="B29"/>
  <c r="C29"/>
  <c r="E29"/>
  <c r="F29"/>
  <c r="A30"/>
  <c r="B30"/>
  <c r="C30"/>
  <c r="E30"/>
  <c r="F30"/>
  <c r="A31"/>
  <c r="B31"/>
  <c r="C31"/>
  <c r="E31"/>
  <c r="F31"/>
  <c r="A32"/>
  <c r="B32"/>
  <c r="C32"/>
  <c r="E32"/>
  <c r="F32"/>
  <c r="A33"/>
  <c r="B33"/>
  <c r="C33"/>
  <c r="E33"/>
  <c r="F33"/>
  <c r="A34"/>
  <c r="B34"/>
  <c r="C34"/>
  <c r="E34"/>
  <c r="F34"/>
  <c r="A35"/>
  <c r="B35"/>
  <c r="C35"/>
  <c r="E35"/>
  <c r="F35"/>
  <c r="A36"/>
  <c r="B36"/>
  <c r="C36"/>
  <c r="E36"/>
  <c r="F36"/>
  <c r="A37"/>
  <c r="B37"/>
  <c r="C37"/>
  <c r="E37"/>
  <c r="F37"/>
  <c r="A38"/>
  <c r="B38"/>
  <c r="C38"/>
  <c r="E38"/>
  <c r="F38"/>
  <c r="A39"/>
  <c r="B39"/>
  <c r="C39"/>
  <c r="E39"/>
  <c r="F39"/>
  <c r="A40"/>
  <c r="B40"/>
  <c r="C40"/>
  <c r="E40"/>
  <c r="F40"/>
  <c r="A41"/>
  <c r="B41"/>
  <c r="C41"/>
  <c r="E41"/>
  <c r="F41"/>
  <c r="A42"/>
  <c r="B42"/>
  <c r="C42"/>
  <c r="E42"/>
  <c r="F42"/>
  <c r="A43"/>
  <c r="B43"/>
  <c r="C43"/>
  <c r="E43"/>
  <c r="F43"/>
  <c r="A44"/>
  <c r="B44"/>
  <c r="C44"/>
  <c r="E44"/>
  <c r="F44"/>
  <c r="A45"/>
  <c r="B45"/>
  <c r="C45"/>
  <c r="E45"/>
  <c r="F45"/>
  <c r="A46"/>
  <c r="B46"/>
  <c r="C46"/>
  <c r="E46"/>
  <c r="F46"/>
  <c r="A47"/>
  <c r="B47"/>
  <c r="C47"/>
  <c r="E47"/>
  <c r="F47"/>
  <c r="A48"/>
  <c r="B48"/>
  <c r="C48"/>
  <c r="E48"/>
  <c r="F48"/>
  <c r="A49"/>
  <c r="B49"/>
  <c r="C49"/>
  <c r="E49"/>
  <c r="F49"/>
  <c r="A50"/>
  <c r="B50"/>
  <c r="C50"/>
  <c r="E50"/>
  <c r="F50"/>
  <c r="A51"/>
  <c r="B51"/>
  <c r="C51"/>
  <c r="E51"/>
  <c r="F51"/>
  <c r="A52"/>
  <c r="B52"/>
  <c r="C52"/>
  <c r="E52"/>
  <c r="F52"/>
  <c r="A53"/>
  <c r="B53"/>
  <c r="C53"/>
  <c r="E53"/>
  <c r="F53"/>
  <c r="A54"/>
  <c r="B54"/>
  <c r="C54"/>
  <c r="E54"/>
  <c r="F54"/>
  <c r="A55"/>
  <c r="B55"/>
  <c r="C55"/>
  <c r="E55"/>
  <c r="F55"/>
  <c r="A56"/>
  <c r="B56"/>
  <c r="C56"/>
  <c r="E56"/>
  <c r="F56"/>
  <c r="A57"/>
  <c r="B57"/>
  <c r="C57"/>
  <c r="E57"/>
  <c r="F57"/>
  <c r="A58"/>
  <c r="B58"/>
  <c r="C58"/>
  <c r="E58"/>
  <c r="F58"/>
  <c r="A59"/>
  <c r="B59"/>
  <c r="C59"/>
  <c r="E59"/>
  <c r="F59"/>
  <c r="A60"/>
  <c r="B60"/>
  <c r="C60"/>
  <c r="E60"/>
  <c r="F60"/>
  <c r="A61"/>
  <c r="B61"/>
  <c r="C61"/>
  <c r="E61"/>
  <c r="F61"/>
  <c r="A62"/>
  <c r="B62"/>
  <c r="C62"/>
  <c r="E62"/>
  <c r="F62"/>
  <c r="A63"/>
  <c r="B63"/>
  <c r="C63"/>
  <c r="E63"/>
  <c r="F63"/>
  <c r="A64"/>
  <c r="B64"/>
  <c r="C64"/>
  <c r="E64"/>
  <c r="F64"/>
  <c r="A65"/>
  <c r="B65"/>
  <c r="C65"/>
  <c r="E65"/>
  <c r="F65"/>
  <c r="A66"/>
  <c r="B66"/>
  <c r="C66"/>
  <c r="E66"/>
  <c r="F66"/>
  <c r="A67"/>
  <c r="B67"/>
  <c r="C67"/>
  <c r="E67"/>
  <c r="F67"/>
  <c r="A68"/>
  <c r="B68"/>
  <c r="C68"/>
  <c r="E68"/>
  <c r="F68"/>
  <c r="A69"/>
  <c r="B69"/>
  <c r="C69"/>
  <c r="E69"/>
  <c r="F69"/>
  <c r="A70"/>
  <c r="B70"/>
  <c r="C70"/>
  <c r="E70"/>
  <c r="F70"/>
  <c r="A71"/>
  <c r="B71"/>
  <c r="C71"/>
  <c r="E71"/>
  <c r="F71"/>
  <c r="A72"/>
  <c r="B72"/>
  <c r="C72"/>
  <c r="E72"/>
  <c r="F72"/>
  <c r="A73"/>
  <c r="B73"/>
  <c r="C73"/>
  <c r="E73"/>
  <c r="F73"/>
  <c r="A74"/>
  <c r="B74"/>
  <c r="C74"/>
  <c r="E74"/>
  <c r="F74"/>
  <c r="A75"/>
  <c r="B75"/>
  <c r="C75"/>
  <c r="E75"/>
  <c r="F75"/>
  <c r="A76"/>
  <c r="B76"/>
  <c r="C76"/>
  <c r="E76"/>
  <c r="F76"/>
  <c r="A77"/>
  <c r="B77"/>
  <c r="C77"/>
  <c r="E77"/>
  <c r="F77"/>
  <c r="A78"/>
  <c r="B78"/>
  <c r="C78"/>
  <c r="E78"/>
  <c r="F78"/>
  <c r="A79"/>
  <c r="B79"/>
  <c r="C79"/>
  <c r="E79"/>
  <c r="F79"/>
  <c r="A80"/>
  <c r="B80"/>
  <c r="C80"/>
  <c r="E80"/>
  <c r="F80"/>
  <c r="A81"/>
  <c r="B81"/>
  <c r="C81"/>
  <c r="E81"/>
  <c r="F81"/>
  <c r="A82"/>
  <c r="B82"/>
  <c r="C82"/>
  <c r="E82"/>
  <c r="F82"/>
  <c r="A83"/>
  <c r="B83"/>
  <c r="C83"/>
  <c r="E83"/>
  <c r="F83"/>
  <c r="A84"/>
  <c r="B84"/>
  <c r="C84"/>
  <c r="E84"/>
  <c r="F84"/>
  <c r="A85"/>
  <c r="B85"/>
  <c r="C85"/>
  <c r="E85"/>
  <c r="F85"/>
  <c r="A86"/>
  <c r="B86"/>
  <c r="C86"/>
  <c r="E86"/>
  <c r="F86"/>
  <c r="A87"/>
  <c r="B87"/>
  <c r="C87"/>
  <c r="E87"/>
  <c r="F87"/>
  <c r="A88"/>
  <c r="B88"/>
  <c r="C88"/>
  <c r="E88"/>
  <c r="F88"/>
  <c r="A89"/>
  <c r="B89"/>
  <c r="C89"/>
  <c r="E89"/>
  <c r="F89"/>
  <c r="A90"/>
  <c r="B90"/>
  <c r="C90"/>
  <c r="E90"/>
  <c r="F90"/>
  <c r="A91"/>
  <c r="B91"/>
  <c r="C91"/>
  <c r="E91"/>
  <c r="F91"/>
  <c r="A92"/>
  <c r="B92"/>
  <c r="C92"/>
  <c r="E92"/>
  <c r="F92"/>
  <c r="A93"/>
  <c r="B93"/>
  <c r="C93"/>
  <c r="E93"/>
  <c r="F93"/>
  <c r="A94"/>
  <c r="B94"/>
  <c r="C94"/>
  <c r="E94"/>
  <c r="F94"/>
  <c r="A95"/>
  <c r="B95"/>
  <c r="C95"/>
  <c r="E95"/>
  <c r="F95"/>
  <c r="A96"/>
  <c r="B96"/>
  <c r="C96"/>
  <c r="E96"/>
  <c r="F96"/>
  <c r="A97"/>
  <c r="B97"/>
  <c r="C97"/>
  <c r="E97"/>
  <c r="F97"/>
  <c r="A98"/>
  <c r="B98"/>
  <c r="C98"/>
  <c r="E98"/>
  <c r="F98"/>
  <c r="A99"/>
  <c r="B99"/>
  <c r="C99"/>
  <c r="E99"/>
  <c r="F99"/>
  <c r="A100"/>
  <c r="B100"/>
  <c r="C100"/>
  <c r="E100"/>
  <c r="F100"/>
  <c r="A101"/>
  <c r="B101"/>
  <c r="C101"/>
  <c r="E101"/>
  <c r="F101"/>
  <c r="A102"/>
  <c r="B102"/>
  <c r="C102"/>
  <c r="E102"/>
  <c r="F102"/>
  <c r="A103"/>
  <c r="B103"/>
  <c r="C103"/>
  <c r="E103"/>
  <c r="F103"/>
  <c r="A104"/>
  <c r="B104"/>
  <c r="C104"/>
  <c r="E104"/>
  <c r="F104"/>
  <c r="A105"/>
  <c r="B105"/>
  <c r="C105"/>
  <c r="E105"/>
  <c r="F105"/>
  <c r="A106"/>
  <c r="B106"/>
  <c r="C106"/>
  <c r="E106"/>
  <c r="F106"/>
  <c r="A107"/>
  <c r="B107"/>
  <c r="C107"/>
  <c r="E107"/>
  <c r="F107"/>
  <c r="A108"/>
  <c r="B108"/>
  <c r="C108"/>
  <c r="E108"/>
  <c r="F108"/>
  <c r="A109"/>
  <c r="B109"/>
  <c r="C109"/>
  <c r="E109"/>
  <c r="F109"/>
  <c r="A110"/>
  <c r="B110"/>
  <c r="C110"/>
  <c r="E110"/>
  <c r="F110"/>
  <c r="A111"/>
  <c r="B111"/>
  <c r="C111"/>
  <c r="E111"/>
  <c r="F111"/>
  <c r="A112"/>
  <c r="B112"/>
  <c r="C112"/>
  <c r="E112"/>
  <c r="F112"/>
  <c r="A113"/>
  <c r="B113"/>
  <c r="C113"/>
  <c r="E113"/>
  <c r="F113"/>
  <c r="A114"/>
  <c r="B114"/>
  <c r="C114"/>
  <c r="E114"/>
  <c r="F114"/>
  <c r="A115"/>
  <c r="B115"/>
  <c r="C115"/>
  <c r="E115"/>
  <c r="F115"/>
  <c r="A116"/>
  <c r="B116"/>
  <c r="C116"/>
  <c r="E116"/>
  <c r="F116"/>
  <c r="A117"/>
  <c r="B117"/>
  <c r="C117"/>
  <c r="E117"/>
  <c r="F117"/>
  <c r="A118"/>
  <c r="B118"/>
  <c r="C118"/>
  <c r="E118"/>
  <c r="F118"/>
  <c r="A119"/>
  <c r="B119"/>
  <c r="C119"/>
  <c r="E119"/>
  <c r="F119"/>
  <c r="A120"/>
  <c r="B120"/>
  <c r="C120"/>
  <c r="E120"/>
  <c r="F120"/>
  <c r="A121"/>
  <c r="B121"/>
  <c r="C121"/>
  <c r="E121"/>
  <c r="F121"/>
  <c r="A122"/>
  <c r="B122"/>
  <c r="C122"/>
  <c r="E122"/>
  <c r="F122"/>
  <c r="A123"/>
  <c r="B123"/>
  <c r="C123"/>
  <c r="E123"/>
  <c r="F123"/>
  <c r="A124"/>
  <c r="B124"/>
  <c r="C124"/>
  <c r="E124"/>
  <c r="F124"/>
  <c r="A125"/>
  <c r="B125"/>
  <c r="C125"/>
  <c r="E125"/>
  <c r="F125"/>
  <c r="A126"/>
  <c r="B126"/>
  <c r="C126"/>
  <c r="E126"/>
  <c r="F126"/>
  <c r="A127"/>
  <c r="B127"/>
  <c r="C127"/>
  <c r="E127"/>
  <c r="F127"/>
  <c r="A128"/>
  <c r="B128"/>
  <c r="C128"/>
  <c r="E128"/>
  <c r="F128"/>
  <c r="A129"/>
  <c r="B129"/>
  <c r="C129"/>
  <c r="E129"/>
  <c r="F129"/>
  <c r="A130"/>
  <c r="B130"/>
  <c r="C130"/>
  <c r="E130"/>
  <c r="F130"/>
  <c r="A131"/>
  <c r="B131"/>
  <c r="C131"/>
  <c r="E131"/>
  <c r="F131"/>
  <c r="A132"/>
  <c r="B132"/>
  <c r="C132"/>
  <c r="E132"/>
  <c r="F132"/>
  <c r="A133"/>
  <c r="B133"/>
  <c r="C133"/>
  <c r="E133"/>
  <c r="F133"/>
  <c r="A134"/>
  <c r="B134"/>
  <c r="C134"/>
  <c r="E134"/>
  <c r="F134"/>
  <c r="A135"/>
  <c r="B135"/>
  <c r="C135"/>
  <c r="E135"/>
  <c r="F135"/>
  <c r="A136"/>
  <c r="B136"/>
  <c r="C136"/>
  <c r="E136"/>
  <c r="F136"/>
  <c r="A137"/>
  <c r="B137"/>
  <c r="C137"/>
  <c r="E137"/>
  <c r="F137"/>
  <c r="A138"/>
  <c r="B138"/>
  <c r="C138"/>
  <c r="E138"/>
  <c r="F138"/>
  <c r="A139"/>
  <c r="B139"/>
  <c r="C139"/>
  <c r="E139"/>
  <c r="F139"/>
  <c r="A140"/>
  <c r="B140"/>
  <c r="C140"/>
  <c r="E140"/>
  <c r="F140"/>
  <c r="A141"/>
  <c r="B141"/>
  <c r="C141"/>
  <c r="E141"/>
  <c r="F141"/>
  <c r="A142"/>
  <c r="B142"/>
  <c r="C142"/>
  <c r="E142"/>
  <c r="F142"/>
  <c r="A143"/>
  <c r="B143"/>
  <c r="C143"/>
  <c r="E143"/>
  <c r="F143"/>
  <c r="A144"/>
  <c r="B144"/>
  <c r="C144"/>
  <c r="E144"/>
  <c r="F144"/>
  <c r="A145"/>
  <c r="B145"/>
  <c r="C145"/>
  <c r="E145"/>
  <c r="F145"/>
  <c r="A146"/>
  <c r="B146"/>
  <c r="C146"/>
  <c r="E146"/>
  <c r="F146"/>
  <c r="A147"/>
  <c r="B147"/>
  <c r="C147"/>
  <c r="E147"/>
  <c r="F147"/>
  <c r="A148"/>
  <c r="B148"/>
  <c r="C148"/>
  <c r="E148"/>
  <c r="F148"/>
  <c r="A149"/>
  <c r="B149"/>
  <c r="C149"/>
  <c r="E149"/>
  <c r="F149"/>
  <c r="A150"/>
  <c r="B150"/>
  <c r="C150"/>
  <c r="E150"/>
  <c r="F150"/>
  <c r="A151"/>
  <c r="B151"/>
  <c r="C151"/>
  <c r="E151"/>
  <c r="F151"/>
  <c r="A152"/>
  <c r="B152"/>
  <c r="C152"/>
  <c r="E152"/>
  <c r="F152"/>
  <c r="A153"/>
  <c r="B153"/>
  <c r="C153"/>
  <c r="E153"/>
  <c r="F153"/>
  <c r="A154"/>
  <c r="B154"/>
  <c r="C154"/>
  <c r="E154"/>
  <c r="F154"/>
  <c r="A155"/>
  <c r="B155"/>
  <c r="C155"/>
  <c r="E155"/>
  <c r="F155"/>
  <c r="A156"/>
  <c r="B156"/>
  <c r="C156"/>
  <c r="E156"/>
  <c r="F156"/>
  <c r="A157"/>
  <c r="B157"/>
  <c r="C157"/>
  <c r="E157"/>
  <c r="F157"/>
  <c r="A158"/>
  <c r="B158"/>
  <c r="C158"/>
  <c r="E158"/>
  <c r="F158"/>
  <c r="A159"/>
  <c r="B159"/>
  <c r="C159"/>
  <c r="E159"/>
  <c r="F159"/>
  <c r="A160"/>
  <c r="B160"/>
  <c r="C160"/>
  <c r="E160"/>
  <c r="F160"/>
  <c r="A161"/>
  <c r="B161"/>
  <c r="C161"/>
  <c r="E161"/>
  <c r="F161"/>
  <c r="A162"/>
  <c r="B162"/>
  <c r="C162"/>
  <c r="E162"/>
  <c r="F162"/>
  <c r="A163"/>
  <c r="B163"/>
  <c r="C163"/>
  <c r="E163"/>
  <c r="F163"/>
  <c r="A164"/>
  <c r="B164"/>
  <c r="C164"/>
  <c r="E164"/>
  <c r="F164"/>
  <c r="A165"/>
  <c r="B165"/>
  <c r="C165"/>
  <c r="E165"/>
  <c r="F165"/>
  <c r="A166"/>
  <c r="B166"/>
  <c r="C166"/>
  <c r="E166"/>
  <c r="F166"/>
  <c r="A167"/>
  <c r="B167"/>
  <c r="C167"/>
  <c r="E167"/>
  <c r="F167"/>
  <c r="A168"/>
  <c r="B168"/>
  <c r="C168"/>
  <c r="E168"/>
  <c r="F168"/>
  <c r="A169"/>
  <c r="B169"/>
  <c r="C169"/>
  <c r="E169"/>
  <c r="F169"/>
  <c r="A170"/>
  <c r="B170"/>
  <c r="C170"/>
  <c r="E170"/>
  <c r="F170"/>
  <c r="A171"/>
  <c r="B171"/>
  <c r="C171"/>
  <c r="E171"/>
  <c r="F171"/>
  <c r="A172"/>
  <c r="B172"/>
  <c r="C172"/>
  <c r="E172"/>
  <c r="F172"/>
  <c r="A173"/>
  <c r="B173"/>
  <c r="C173"/>
  <c r="E173"/>
  <c r="F173"/>
  <c r="A174"/>
  <c r="B174"/>
  <c r="C174"/>
  <c r="E174"/>
  <c r="F174"/>
  <c r="A175"/>
  <c r="B175"/>
  <c r="C175"/>
  <c r="E175"/>
  <c r="F175"/>
  <c r="A176"/>
  <c r="B176"/>
  <c r="C176"/>
  <c r="E176"/>
  <c r="F176"/>
  <c r="A177"/>
  <c r="B177"/>
  <c r="C177"/>
  <c r="E177"/>
  <c r="F177"/>
  <c r="A178"/>
  <c r="B178"/>
  <c r="C178"/>
  <c r="E178"/>
  <c r="F178"/>
  <c r="A179"/>
  <c r="B179"/>
  <c r="C179"/>
  <c r="E179"/>
  <c r="F179"/>
  <c r="A180"/>
  <c r="B180"/>
  <c r="C180"/>
  <c r="E180"/>
  <c r="F180"/>
  <c r="A181"/>
  <c r="B181"/>
  <c r="C181"/>
  <c r="E181"/>
  <c r="F181"/>
  <c r="A182"/>
  <c r="B182"/>
  <c r="C182"/>
  <c r="E182"/>
  <c r="F182"/>
  <c r="A183"/>
  <c r="B183"/>
  <c r="C183"/>
  <c r="E183"/>
  <c r="F183"/>
  <c r="A184"/>
  <c r="B184"/>
  <c r="C184"/>
  <c r="E184"/>
  <c r="F184"/>
  <c r="A185"/>
  <c r="B185"/>
  <c r="C185"/>
  <c r="E185"/>
  <c r="F185"/>
  <c r="A186"/>
  <c r="B186"/>
  <c r="C186"/>
  <c r="E186"/>
  <c r="F186"/>
  <c r="A187"/>
  <c r="B187"/>
  <c r="C187"/>
  <c r="E187"/>
  <c r="F187"/>
  <c r="A188"/>
  <c r="B188"/>
  <c r="C188"/>
  <c r="E188"/>
  <c r="F188"/>
  <c r="A189"/>
  <c r="B189"/>
  <c r="C189"/>
  <c r="E189"/>
  <c r="F189"/>
  <c r="A190"/>
  <c r="B190"/>
  <c r="C190"/>
  <c r="E190"/>
  <c r="F190"/>
  <c r="A191"/>
  <c r="B191"/>
  <c r="C191"/>
  <c r="E191"/>
  <c r="F191"/>
  <c r="A192"/>
  <c r="B192"/>
  <c r="C192"/>
  <c r="E192"/>
  <c r="F192"/>
  <c r="A193"/>
  <c r="B193"/>
  <c r="C193"/>
  <c r="E193"/>
  <c r="F193"/>
  <c r="A194"/>
  <c r="B194"/>
  <c r="C194"/>
  <c r="E194"/>
  <c r="F194"/>
  <c r="A195"/>
  <c r="B195"/>
  <c r="C195"/>
  <c r="E195"/>
  <c r="F195"/>
  <c r="A196"/>
  <c r="B196"/>
  <c r="C196"/>
  <c r="E196"/>
  <c r="F196"/>
  <c r="A197"/>
  <c r="B197"/>
  <c r="C197"/>
  <c r="E197"/>
  <c r="F197"/>
  <c r="A198"/>
  <c r="B198"/>
  <c r="C198"/>
  <c r="E198"/>
  <c r="F198"/>
  <c r="A199"/>
  <c r="B199"/>
  <c r="C199"/>
  <c r="E199"/>
  <c r="F199"/>
  <c r="A200"/>
  <c r="B200"/>
  <c r="C200"/>
  <c r="E200"/>
  <c r="F200"/>
  <c r="A201"/>
  <c r="B201"/>
  <c r="C201"/>
  <c r="E201"/>
  <c r="F201"/>
  <c r="A202"/>
  <c r="B202"/>
  <c r="C202"/>
  <c r="E202"/>
  <c r="F202"/>
  <c r="A203"/>
  <c r="B203"/>
  <c r="C203"/>
  <c r="E203"/>
  <c r="F203"/>
  <c r="A204"/>
  <c r="B204"/>
  <c r="C204"/>
  <c r="E204"/>
  <c r="F204"/>
  <c r="A205"/>
  <c r="B205"/>
  <c r="C205"/>
  <c r="E205"/>
  <c r="F205"/>
  <c r="A206"/>
  <c r="B206"/>
  <c r="C206"/>
  <c r="E206"/>
  <c r="F206"/>
  <c r="A207"/>
  <c r="B207"/>
  <c r="C207"/>
  <c r="E207"/>
  <c r="F207"/>
  <c r="A208"/>
  <c r="B208"/>
  <c r="C208"/>
  <c r="E208"/>
  <c r="F208"/>
  <c r="A209"/>
  <c r="B209"/>
  <c r="C209"/>
  <c r="E209"/>
  <c r="F209"/>
  <c r="A210"/>
  <c r="B210"/>
  <c r="C210"/>
  <c r="E210"/>
  <c r="F210"/>
  <c r="A211"/>
  <c r="B211"/>
  <c r="C211"/>
  <c r="E211"/>
  <c r="F211"/>
  <c r="A212"/>
  <c r="B212"/>
  <c r="C212"/>
  <c r="E212"/>
  <c r="F212"/>
  <c r="A213"/>
  <c r="B213"/>
  <c r="C213"/>
  <c r="E213"/>
  <c r="F213"/>
  <c r="A214"/>
  <c r="B214"/>
  <c r="C214"/>
  <c r="E214"/>
  <c r="F214"/>
  <c r="A215"/>
  <c r="B215"/>
  <c r="C215"/>
  <c r="E215"/>
  <c r="F215"/>
  <c r="A216"/>
  <c r="B216"/>
  <c r="C216"/>
  <c r="E216"/>
  <c r="F216"/>
  <c r="A217"/>
  <c r="B217"/>
  <c r="C217"/>
  <c r="E217"/>
  <c r="F217"/>
  <c r="A218"/>
  <c r="B218"/>
  <c r="C218"/>
  <c r="E218"/>
  <c r="F218"/>
  <c r="A219"/>
  <c r="B219"/>
  <c r="C219"/>
  <c r="E219"/>
  <c r="F219"/>
  <c r="A220"/>
  <c r="B220"/>
  <c r="C220"/>
  <c r="E220"/>
  <c r="F220"/>
  <c r="A221"/>
  <c r="B221"/>
  <c r="C221"/>
  <c r="E221"/>
  <c r="F221"/>
  <c r="A222"/>
  <c r="B222"/>
  <c r="C222"/>
  <c r="E222"/>
  <c r="F222"/>
  <c r="A223"/>
  <c r="B223"/>
  <c r="C223"/>
  <c r="E223"/>
  <c r="F223"/>
  <c r="A224"/>
  <c r="B224"/>
  <c r="C224"/>
  <c r="E224"/>
  <c r="F224"/>
  <c r="A225"/>
  <c r="B225"/>
  <c r="C225"/>
  <c r="E225"/>
  <c r="F225"/>
  <c r="A226"/>
  <c r="B226"/>
  <c r="C226"/>
  <c r="E226"/>
  <c r="F226"/>
  <c r="A227"/>
  <c r="B227"/>
  <c r="C227"/>
  <c r="E227"/>
  <c r="F227"/>
  <c r="A228"/>
  <c r="B228"/>
  <c r="C228"/>
  <c r="E228"/>
  <c r="F228"/>
  <c r="A229"/>
  <c r="B229"/>
  <c r="C229"/>
  <c r="E229"/>
  <c r="F229"/>
  <c r="A230"/>
  <c r="B230"/>
  <c r="C230"/>
  <c r="E230"/>
  <c r="F230"/>
  <c r="A231"/>
  <c r="B231"/>
  <c r="C231"/>
  <c r="E231"/>
  <c r="F231"/>
  <c r="A232"/>
  <c r="B232"/>
  <c r="C232"/>
  <c r="E232"/>
  <c r="F232"/>
  <c r="A233"/>
  <c r="B233"/>
  <c r="C233"/>
  <c r="E233"/>
  <c r="F233"/>
  <c r="A234"/>
  <c r="B234"/>
  <c r="C234"/>
  <c r="E234"/>
  <c r="F234"/>
  <c r="A235"/>
  <c r="B235"/>
  <c r="C235"/>
  <c r="E235"/>
  <c r="F235"/>
  <c r="A236"/>
  <c r="B236"/>
  <c r="C236"/>
  <c r="E236"/>
  <c r="F236"/>
  <c r="A237"/>
  <c r="B237"/>
  <c r="C237"/>
  <c r="E237"/>
  <c r="F237"/>
  <c r="A238"/>
  <c r="B238"/>
  <c r="C238"/>
  <c r="E238"/>
  <c r="F238"/>
  <c r="A239"/>
  <c r="B239"/>
  <c r="C239"/>
  <c r="E239"/>
  <c r="F239"/>
  <c r="A240"/>
  <c r="B240"/>
  <c r="C240"/>
  <c r="E240"/>
  <c r="F240"/>
  <c r="A241"/>
  <c r="B241"/>
  <c r="C241"/>
  <c r="E241"/>
  <c r="F241"/>
  <c r="A242"/>
  <c r="B242"/>
  <c r="C242"/>
  <c r="E242"/>
  <c r="F242"/>
  <c r="A243"/>
  <c r="B243"/>
  <c r="C243"/>
  <c r="E243"/>
  <c r="F243"/>
  <c r="A244"/>
  <c r="B244"/>
  <c r="C244"/>
  <c r="E244"/>
  <c r="F244"/>
  <c r="A245"/>
  <c r="B245"/>
  <c r="C245"/>
  <c r="E245"/>
  <c r="F245"/>
  <c r="A246"/>
  <c r="B246"/>
  <c r="C246"/>
  <c r="E246"/>
  <c r="F246"/>
  <c r="A247"/>
  <c r="B247"/>
  <c r="C247"/>
  <c r="E247"/>
  <c r="F247"/>
  <c r="A248"/>
  <c r="B248"/>
  <c r="C248"/>
  <c r="E248"/>
  <c r="F248"/>
  <c r="A249"/>
  <c r="B249"/>
  <c r="C249"/>
  <c r="E249"/>
  <c r="F249"/>
  <c r="A250"/>
  <c r="B250"/>
  <c r="C250"/>
  <c r="E250"/>
  <c r="F250"/>
  <c r="A251"/>
  <c r="B251"/>
  <c r="C251"/>
  <c r="E251"/>
  <c r="F251"/>
  <c r="A252"/>
  <c r="B252"/>
  <c r="C252"/>
  <c r="E252"/>
  <c r="F252"/>
  <c r="A253"/>
  <c r="B253"/>
  <c r="C253"/>
  <c r="E253"/>
  <c r="F253"/>
  <c r="A254"/>
  <c r="B254"/>
  <c r="C254"/>
  <c r="E254"/>
  <c r="F254"/>
  <c r="A255"/>
  <c r="B255"/>
  <c r="C255"/>
  <c r="E255"/>
  <c r="F255"/>
  <c r="A256"/>
  <c r="B256"/>
  <c r="C256"/>
  <c r="E256"/>
  <c r="F256"/>
  <c r="A257"/>
  <c r="B257"/>
  <c r="C257"/>
  <c r="E257"/>
  <c r="F257"/>
  <c r="A258"/>
  <c r="B258"/>
  <c r="C258"/>
  <c r="E258"/>
  <c r="F258"/>
  <c r="A259"/>
  <c r="B259"/>
  <c r="C259"/>
  <c r="E259"/>
  <c r="F259"/>
  <c r="A260"/>
  <c r="B260"/>
  <c r="C260"/>
  <c r="E260"/>
  <c r="F260"/>
  <c r="A261"/>
  <c r="B261"/>
  <c r="C261"/>
  <c r="E261"/>
  <c r="F261"/>
  <c r="A262"/>
  <c r="B262"/>
  <c r="C262"/>
  <c r="E262"/>
  <c r="F262"/>
  <c r="A263"/>
  <c r="B263"/>
  <c r="C263"/>
  <c r="E263"/>
  <c r="F263"/>
  <c r="A264"/>
  <c r="B264"/>
  <c r="C264"/>
  <c r="E264"/>
  <c r="F264"/>
  <c r="A265"/>
  <c r="B265"/>
  <c r="C265"/>
  <c r="E265"/>
  <c r="F265"/>
  <c r="A266"/>
  <c r="B266"/>
  <c r="C266"/>
  <c r="E266"/>
  <c r="F266"/>
  <c r="A267"/>
  <c r="B267"/>
  <c r="C267"/>
  <c r="E267"/>
  <c r="F267"/>
  <c r="A268"/>
  <c r="B268"/>
  <c r="C268"/>
  <c r="E268"/>
  <c r="F268"/>
  <c r="A269"/>
  <c r="B269"/>
  <c r="C269"/>
  <c r="E269"/>
  <c r="F269"/>
  <c r="A270"/>
  <c r="B270"/>
  <c r="C270"/>
  <c r="E270"/>
  <c r="F270"/>
  <c r="A271"/>
  <c r="B271"/>
  <c r="C271"/>
  <c r="E271"/>
  <c r="F271"/>
  <c r="A272"/>
  <c r="B272"/>
  <c r="C272"/>
  <c r="E272"/>
  <c r="F272"/>
  <c r="A273"/>
  <c r="B273"/>
  <c r="C273"/>
  <c r="E273"/>
  <c r="F273"/>
  <c r="A274"/>
  <c r="B274"/>
  <c r="C274"/>
  <c r="E274"/>
  <c r="F274"/>
  <c r="A275"/>
  <c r="B275"/>
  <c r="C275"/>
  <c r="E275"/>
  <c r="F275"/>
  <c r="A276"/>
  <c r="B276"/>
  <c r="C276"/>
  <c r="E276"/>
  <c r="F276"/>
  <c r="A277"/>
  <c r="B277"/>
  <c r="C277"/>
  <c r="E277"/>
  <c r="F277"/>
  <c r="A278"/>
  <c r="B278"/>
  <c r="C278"/>
  <c r="E278"/>
  <c r="F278"/>
  <c r="A279"/>
  <c r="B279"/>
  <c r="C279"/>
  <c r="E279"/>
  <c r="F279"/>
  <c r="A280"/>
  <c r="B280"/>
  <c r="C280"/>
  <c r="E280"/>
  <c r="F280"/>
  <c r="A281"/>
  <c r="B281"/>
  <c r="C281"/>
  <c r="E281"/>
  <c r="F281"/>
  <c r="A282"/>
  <c r="B282"/>
  <c r="C282"/>
  <c r="E282"/>
  <c r="F282"/>
  <c r="A283"/>
  <c r="B283"/>
  <c r="C283"/>
  <c r="E283"/>
  <c r="F283"/>
  <c r="A284"/>
  <c r="B284"/>
  <c r="C284"/>
  <c r="E284"/>
  <c r="F284"/>
  <c r="A285"/>
  <c r="B285"/>
  <c r="C285"/>
  <c r="E285"/>
  <c r="F285"/>
  <c r="A286"/>
  <c r="B286"/>
  <c r="C286"/>
  <c r="E286"/>
  <c r="F286"/>
  <c r="A287"/>
  <c r="B287"/>
  <c r="C287"/>
  <c r="E287"/>
  <c r="F287"/>
  <c r="A288"/>
  <c r="B288"/>
  <c r="C288"/>
  <c r="E288"/>
  <c r="F288"/>
  <c r="A289"/>
  <c r="B289"/>
  <c r="C289"/>
  <c r="E289"/>
  <c r="F289"/>
  <c r="A290"/>
  <c r="B290"/>
  <c r="C290"/>
  <c r="E290"/>
  <c r="F290"/>
  <c r="A291"/>
  <c r="B291"/>
  <c r="C291"/>
  <c r="E291"/>
  <c r="F291"/>
  <c r="A292"/>
  <c r="B292"/>
  <c r="C292"/>
  <c r="E292"/>
  <c r="F292"/>
  <c r="A293"/>
  <c r="B293"/>
  <c r="C293"/>
  <c r="E293"/>
  <c r="F293"/>
  <c r="A294"/>
  <c r="B294"/>
  <c r="C294"/>
  <c r="E294"/>
  <c r="F294"/>
  <c r="A295"/>
  <c r="B295"/>
  <c r="C295"/>
  <c r="E295"/>
  <c r="F295"/>
  <c r="A296"/>
  <c r="B296"/>
  <c r="C296"/>
  <c r="E296"/>
  <c r="F296"/>
  <c r="A297"/>
  <c r="B297"/>
  <c r="C297"/>
  <c r="E297"/>
  <c r="F297"/>
  <c r="A298"/>
  <c r="B298"/>
  <c r="C298"/>
  <c r="E298"/>
  <c r="F298"/>
  <c r="A299"/>
  <c r="B299"/>
  <c r="C299"/>
  <c r="E299"/>
  <c r="F299"/>
  <c r="A300"/>
  <c r="B300"/>
  <c r="C300"/>
  <c r="E300"/>
  <c r="F300"/>
  <c r="A301"/>
  <c r="B301"/>
  <c r="C301"/>
  <c r="E301"/>
  <c r="F301"/>
  <c r="A302"/>
  <c r="B302"/>
  <c r="C302"/>
  <c r="E302"/>
  <c r="F302"/>
  <c r="A303"/>
  <c r="B303"/>
  <c r="C303"/>
  <c r="E303"/>
  <c r="F303"/>
  <c r="A304"/>
  <c r="B304"/>
  <c r="C304"/>
  <c r="E304"/>
  <c r="F304"/>
  <c r="A305"/>
  <c r="B305"/>
  <c r="C305"/>
  <c r="E305"/>
  <c r="F305"/>
  <c r="A306"/>
  <c r="B306"/>
  <c r="C306"/>
  <c r="E306"/>
  <c r="F306"/>
  <c r="A307"/>
  <c r="B307"/>
  <c r="C307"/>
  <c r="E307"/>
  <c r="F307"/>
  <c r="A308"/>
  <c r="B308"/>
  <c r="C308"/>
  <c r="E308"/>
  <c r="F308"/>
  <c r="A309"/>
  <c r="B309"/>
  <c r="C309"/>
  <c r="E309"/>
  <c r="F309"/>
  <c r="A310"/>
  <c r="B310"/>
  <c r="C310"/>
  <c r="E310"/>
  <c r="F310"/>
  <c r="A311"/>
  <c r="B311"/>
  <c r="C311"/>
  <c r="E311"/>
  <c r="F311"/>
  <c r="A312"/>
  <c r="B312"/>
  <c r="C312"/>
  <c r="E312"/>
  <c r="F312"/>
  <c r="A313"/>
  <c r="B313"/>
  <c r="C313"/>
  <c r="E313"/>
  <c r="F313"/>
  <c r="A314"/>
  <c r="B314"/>
  <c r="C314"/>
  <c r="E314"/>
  <c r="F314"/>
  <c r="A315"/>
  <c r="B315"/>
  <c r="C315"/>
  <c r="E315"/>
  <c r="F315"/>
  <c r="A316"/>
  <c r="B316"/>
  <c r="C316"/>
  <c r="E316"/>
  <c r="F316"/>
  <c r="A317"/>
  <c r="B317"/>
  <c r="C317"/>
  <c r="E317"/>
  <c r="F317"/>
  <c r="A318"/>
  <c r="B318"/>
  <c r="C318"/>
  <c r="E318"/>
  <c r="F318"/>
  <c r="A319"/>
  <c r="B319"/>
  <c r="C319"/>
  <c r="E319"/>
  <c r="F319"/>
  <c r="A320"/>
  <c r="B320"/>
  <c r="C320"/>
  <c r="E320"/>
  <c r="F320"/>
  <c r="A321"/>
  <c r="B321"/>
  <c r="C321"/>
  <c r="E321"/>
  <c r="F321"/>
  <c r="A322"/>
  <c r="B322"/>
  <c r="C322"/>
  <c r="E322"/>
  <c r="F322"/>
  <c r="A323"/>
  <c r="B323"/>
  <c r="C323"/>
  <c r="E323"/>
  <c r="F323"/>
  <c r="A324"/>
  <c r="B324"/>
  <c r="C324"/>
  <c r="E324"/>
  <c r="F324"/>
  <c r="A325"/>
  <c r="B325"/>
  <c r="C325"/>
  <c r="E325"/>
  <c r="F325"/>
  <c r="A326"/>
  <c r="B326"/>
  <c r="C326"/>
  <c r="E326"/>
  <c r="F326"/>
  <c r="A327"/>
  <c r="B327"/>
  <c r="C327"/>
  <c r="E327"/>
  <c r="F327"/>
  <c r="A328"/>
  <c r="B328"/>
  <c r="C328"/>
  <c r="E328"/>
  <c r="F328"/>
  <c r="A329"/>
  <c r="B329"/>
  <c r="C329"/>
  <c r="E329"/>
  <c r="F329"/>
  <c r="A330"/>
  <c r="B330"/>
  <c r="C330"/>
  <c r="E330"/>
  <c r="F330"/>
  <c r="A331"/>
  <c r="B331"/>
  <c r="C331"/>
  <c r="E331"/>
  <c r="F331"/>
  <c r="A332"/>
  <c r="B332"/>
  <c r="C332"/>
  <c r="E332"/>
  <c r="F332"/>
  <c r="A333"/>
  <c r="B333"/>
  <c r="C333"/>
  <c r="E333"/>
  <c r="F333"/>
  <c r="A334"/>
  <c r="B334"/>
  <c r="C334"/>
  <c r="E334"/>
  <c r="F334"/>
  <c r="A335"/>
  <c r="B335"/>
  <c r="C335"/>
  <c r="E335"/>
  <c r="F335"/>
  <c r="A336"/>
  <c r="B336"/>
  <c r="C336"/>
  <c r="E336"/>
  <c r="F336"/>
  <c r="A337"/>
  <c r="B337"/>
  <c r="C337"/>
  <c r="E337"/>
  <c r="F337"/>
  <c r="A338"/>
  <c r="B338"/>
  <c r="C338"/>
  <c r="E338"/>
  <c r="F338"/>
  <c r="A339"/>
  <c r="B339"/>
  <c r="C339"/>
  <c r="E339"/>
  <c r="F339"/>
  <c r="A340"/>
  <c r="B340"/>
  <c r="C340"/>
  <c r="E340"/>
  <c r="F340"/>
  <c r="A341"/>
  <c r="B341"/>
  <c r="C341"/>
  <c r="E341"/>
  <c r="F341"/>
  <c r="A342"/>
  <c r="B342"/>
  <c r="C342"/>
  <c r="E342"/>
  <c r="F342"/>
  <c r="A343"/>
  <c r="B343"/>
  <c r="C343"/>
  <c r="E343"/>
  <c r="F343"/>
  <c r="A344"/>
  <c r="B344"/>
  <c r="C344"/>
  <c r="E344"/>
  <c r="F344"/>
  <c r="A345"/>
  <c r="B345"/>
  <c r="C345"/>
  <c r="E345"/>
  <c r="F345"/>
  <c r="A346"/>
  <c r="B346"/>
  <c r="C346"/>
  <c r="E346"/>
  <c r="F346"/>
  <c r="A347"/>
  <c r="B347"/>
  <c r="C347"/>
  <c r="E347"/>
  <c r="F347"/>
  <c r="A348"/>
  <c r="B348"/>
  <c r="C348"/>
  <c r="E348"/>
  <c r="F348"/>
  <c r="A349"/>
  <c r="B349"/>
  <c r="C349"/>
  <c r="E349"/>
  <c r="F349"/>
  <c r="A350"/>
  <c r="B350"/>
  <c r="C350"/>
  <c r="E350"/>
  <c r="F350"/>
  <c r="A351"/>
  <c r="B351"/>
  <c r="C351"/>
  <c r="E351"/>
  <c r="F351"/>
  <c r="A352"/>
  <c r="B352"/>
  <c r="C352"/>
  <c r="E352"/>
  <c r="F352"/>
  <c r="A353"/>
  <c r="B353"/>
  <c r="C353"/>
  <c r="E353"/>
  <c r="F353"/>
  <c r="A354"/>
  <c r="B354"/>
  <c r="C354"/>
  <c r="E354"/>
  <c r="F354"/>
  <c r="A355"/>
  <c r="B355"/>
  <c r="C355"/>
  <c r="E355"/>
  <c r="F355"/>
  <c r="A356"/>
  <c r="B356"/>
  <c r="C356"/>
  <c r="E356"/>
  <c r="F356"/>
  <c r="A357"/>
  <c r="B357"/>
  <c r="C357"/>
  <c r="E357"/>
  <c r="F357"/>
  <c r="A358"/>
  <c r="B358"/>
  <c r="C358"/>
  <c r="E358"/>
  <c r="F358"/>
  <c r="A359"/>
  <c r="B359"/>
  <c r="C359"/>
  <c r="E359"/>
  <c r="F359"/>
  <c r="A360"/>
  <c r="B360"/>
  <c r="C360"/>
  <c r="E360"/>
  <c r="F360"/>
  <c r="A361"/>
  <c r="B361"/>
  <c r="C361"/>
  <c r="E361"/>
  <c r="F361"/>
  <c r="A362"/>
  <c r="B362"/>
  <c r="C362"/>
  <c r="E362"/>
  <c r="F362"/>
  <c r="A363"/>
  <c r="B363"/>
  <c r="C363"/>
  <c r="E363"/>
  <c r="F363"/>
  <c r="A364"/>
  <c r="B364"/>
  <c r="C364"/>
  <c r="E364"/>
  <c r="F364"/>
  <c r="A365"/>
  <c r="B365"/>
  <c r="C365"/>
  <c r="E365"/>
  <c r="F365"/>
  <c r="A366"/>
  <c r="B366"/>
  <c r="C366"/>
  <c r="E366"/>
  <c r="F366"/>
  <c r="A367"/>
  <c r="B367"/>
  <c r="C367"/>
  <c r="E367"/>
  <c r="F367"/>
  <c r="A368"/>
  <c r="B368"/>
  <c r="C368"/>
  <c r="E368"/>
  <c r="F368"/>
  <c r="A369"/>
  <c r="B369"/>
  <c r="C369"/>
  <c r="E369"/>
  <c r="F369"/>
  <c r="A370"/>
  <c r="B370"/>
  <c r="C370"/>
  <c r="E370"/>
  <c r="F370"/>
  <c r="A371"/>
  <c r="B371"/>
  <c r="C371"/>
  <c r="E371"/>
  <c r="F371"/>
  <c r="A372"/>
  <c r="B372"/>
  <c r="C372"/>
  <c r="E372"/>
  <c r="F372"/>
  <c r="A373"/>
  <c r="B373"/>
  <c r="C373"/>
  <c r="E373"/>
  <c r="F373"/>
  <c r="A374"/>
  <c r="B374"/>
  <c r="C374"/>
  <c r="E374"/>
  <c r="F374"/>
  <c r="A375"/>
  <c r="B375"/>
  <c r="C375"/>
  <c r="E375"/>
  <c r="F375"/>
  <c r="A376"/>
  <c r="B376"/>
  <c r="C376"/>
  <c r="E376"/>
  <c r="F376"/>
  <c r="A377"/>
  <c r="B377"/>
  <c r="C377"/>
  <c r="E377"/>
  <c r="F377"/>
  <c r="A378"/>
  <c r="B378"/>
  <c r="C378"/>
  <c r="E378"/>
  <c r="F378"/>
  <c r="A379"/>
  <c r="B379"/>
  <c r="C379"/>
  <c r="E379"/>
  <c r="F379"/>
  <c r="A380"/>
  <c r="B380"/>
  <c r="C380"/>
  <c r="E380"/>
  <c r="F380"/>
  <c r="A381"/>
  <c r="B381"/>
  <c r="C381"/>
  <c r="E381"/>
  <c r="F381"/>
  <c r="A382"/>
  <c r="B382"/>
  <c r="C382"/>
  <c r="E382"/>
  <c r="F382"/>
  <c r="A383"/>
  <c r="B383"/>
  <c r="C383"/>
  <c r="E383"/>
  <c r="F383"/>
  <c r="A384"/>
  <c r="B384"/>
  <c r="C384"/>
  <c r="E384"/>
  <c r="F384"/>
  <c r="A385"/>
  <c r="B385"/>
  <c r="C385"/>
  <c r="E385"/>
  <c r="F385"/>
  <c r="A386"/>
  <c r="B386"/>
  <c r="C386"/>
  <c r="E386"/>
  <c r="F386"/>
  <c r="A387"/>
  <c r="B387"/>
  <c r="C387"/>
  <c r="E387"/>
  <c r="F387"/>
  <c r="A388"/>
  <c r="B388"/>
  <c r="C388"/>
  <c r="E388"/>
  <c r="F388"/>
  <c r="A389"/>
  <c r="B389"/>
  <c r="C389"/>
  <c r="E389"/>
  <c r="F389"/>
  <c r="A390"/>
  <c r="B390"/>
  <c r="C390"/>
  <c r="E390"/>
  <c r="F390"/>
  <c r="A391"/>
  <c r="B391"/>
  <c r="C391"/>
  <c r="E391"/>
  <c r="F391"/>
  <c r="A392"/>
  <c r="B392"/>
  <c r="C392"/>
  <c r="E392"/>
  <c r="F392"/>
  <c r="A393"/>
  <c r="B393"/>
  <c r="C393"/>
  <c r="E393"/>
  <c r="F393"/>
  <c r="A394"/>
  <c r="B394"/>
  <c r="C394"/>
  <c r="E394"/>
  <c r="F394"/>
  <c r="A395"/>
  <c r="B395"/>
  <c r="C395"/>
  <c r="E395"/>
  <c r="F395"/>
  <c r="A396"/>
  <c r="B396"/>
  <c r="C396"/>
  <c r="E396"/>
  <c r="F396"/>
  <c r="A397"/>
  <c r="B397"/>
  <c r="C397"/>
  <c r="E397"/>
  <c r="F397"/>
  <c r="A398"/>
  <c r="B398"/>
  <c r="C398"/>
  <c r="E398"/>
  <c r="F398"/>
  <c r="A399"/>
  <c r="B399"/>
  <c r="C399"/>
  <c r="E399"/>
  <c r="F399"/>
  <c r="A400"/>
  <c r="B400"/>
  <c r="C400"/>
  <c r="E400"/>
  <c r="F400"/>
  <c r="A401"/>
  <c r="B401"/>
  <c r="C401"/>
  <c r="E401"/>
  <c r="F401"/>
  <c r="A402"/>
  <c r="B402"/>
  <c r="C402"/>
  <c r="E402"/>
  <c r="F402"/>
  <c r="A403"/>
  <c r="B403"/>
  <c r="C403"/>
  <c r="E403"/>
  <c r="F403"/>
  <c r="A404"/>
  <c r="B404"/>
  <c r="C404"/>
  <c r="E404"/>
  <c r="F404"/>
  <c r="A405"/>
  <c r="B405"/>
  <c r="C405"/>
  <c r="E405"/>
  <c r="F405"/>
  <c r="A406"/>
  <c r="B406"/>
  <c r="C406"/>
  <c r="E406"/>
  <c r="F406"/>
  <c r="A407"/>
  <c r="B407"/>
  <c r="C407"/>
  <c r="E407"/>
  <c r="F407"/>
  <c r="A408"/>
  <c r="B408"/>
  <c r="C408"/>
  <c r="E408"/>
  <c r="F408"/>
  <c r="A409"/>
  <c r="B409"/>
  <c r="C409"/>
  <c r="E409"/>
  <c r="F409"/>
  <c r="A410"/>
  <c r="B410"/>
  <c r="C410"/>
  <c r="E410"/>
  <c r="F410"/>
  <c r="A411"/>
  <c r="B411"/>
  <c r="C411"/>
  <c r="E411"/>
  <c r="F411"/>
  <c r="A412"/>
  <c r="B412"/>
  <c r="C412"/>
  <c r="E412"/>
  <c r="F412"/>
  <c r="A413"/>
  <c r="B413"/>
  <c r="C413"/>
  <c r="E413"/>
  <c r="F413"/>
  <c r="A414"/>
  <c r="B414"/>
  <c r="C414"/>
  <c r="E414"/>
  <c r="F414"/>
  <c r="A415"/>
  <c r="B415"/>
  <c r="C415"/>
  <c r="E415"/>
  <c r="F415"/>
  <c r="A416"/>
  <c r="B416"/>
  <c r="C416"/>
  <c r="E416"/>
  <c r="F416"/>
  <c r="A417"/>
  <c r="B417"/>
  <c r="C417"/>
  <c r="E417"/>
  <c r="F417"/>
  <c r="A418"/>
  <c r="B418"/>
  <c r="C418"/>
  <c r="E418"/>
  <c r="F418"/>
  <c r="A419"/>
  <c r="B419"/>
  <c r="C419"/>
  <c r="E419"/>
  <c r="F419"/>
  <c r="A420"/>
  <c r="B420"/>
  <c r="C420"/>
  <c r="E420"/>
  <c r="F420"/>
  <c r="A421"/>
  <c r="B421"/>
  <c r="C421"/>
  <c r="E421"/>
  <c r="F421"/>
  <c r="A422"/>
  <c r="B422"/>
  <c r="C422"/>
  <c r="E422"/>
  <c r="F422"/>
  <c r="A423"/>
  <c r="B423"/>
  <c r="C423"/>
  <c r="E423"/>
  <c r="F423"/>
  <c r="A424"/>
  <c r="B424"/>
  <c r="C424"/>
  <c r="E424"/>
  <c r="F424"/>
  <c r="A425"/>
  <c r="B425"/>
  <c r="C425"/>
  <c r="E425"/>
  <c r="F425"/>
  <c r="A426"/>
  <c r="B426"/>
  <c r="C426"/>
  <c r="E426"/>
  <c r="F426"/>
  <c r="A427"/>
  <c r="B427"/>
  <c r="C427"/>
  <c r="E427"/>
  <c r="F427"/>
  <c r="A428"/>
  <c r="B428"/>
  <c r="C428"/>
  <c r="E428"/>
  <c r="F428"/>
  <c r="A429"/>
  <c r="B429"/>
  <c r="C429"/>
  <c r="E429"/>
  <c r="F429"/>
  <c r="A430"/>
  <c r="B430"/>
  <c r="C430"/>
  <c r="E430"/>
  <c r="F430"/>
  <c r="A431"/>
  <c r="B431"/>
  <c r="C431"/>
  <c r="E431"/>
  <c r="F431"/>
  <c r="A432"/>
  <c r="B432"/>
  <c r="C432"/>
  <c r="E432"/>
  <c r="F432"/>
  <c r="A433"/>
  <c r="B433"/>
  <c r="C433"/>
  <c r="E433"/>
  <c r="F433"/>
  <c r="A434"/>
  <c r="B434"/>
  <c r="C434"/>
  <c r="E434"/>
  <c r="F434"/>
  <c r="A435"/>
  <c r="B435"/>
  <c r="C435"/>
  <c r="E435"/>
  <c r="F435"/>
  <c r="A436"/>
  <c r="B436"/>
  <c r="C436"/>
  <c r="E436"/>
  <c r="F436"/>
  <c r="A437"/>
  <c r="B437"/>
  <c r="C437"/>
  <c r="E437"/>
  <c r="F437"/>
  <c r="A438"/>
  <c r="B438"/>
  <c r="C438"/>
  <c r="E438"/>
  <c r="F438"/>
  <c r="A439"/>
  <c r="B439"/>
  <c r="C439"/>
  <c r="E439"/>
  <c r="F439"/>
  <c r="A440"/>
  <c r="B440"/>
  <c r="C440"/>
  <c r="E440"/>
  <c r="F440"/>
  <c r="A441"/>
  <c r="B441"/>
  <c r="C441"/>
  <c r="E441"/>
  <c r="F441"/>
  <c r="A442"/>
  <c r="B442"/>
  <c r="C442"/>
  <c r="E442"/>
  <c r="F442"/>
  <c r="A443"/>
  <c r="B443"/>
  <c r="C443"/>
  <c r="E443"/>
  <c r="F443"/>
  <c r="A444"/>
  <c r="B444"/>
  <c r="C444"/>
  <c r="E444"/>
  <c r="F444"/>
  <c r="A445"/>
  <c r="B445"/>
  <c r="C445"/>
  <c r="E445"/>
  <c r="F445"/>
  <c r="A446"/>
  <c r="B446"/>
  <c r="C446"/>
  <c r="E446"/>
  <c r="F446"/>
  <c r="A447"/>
  <c r="B447"/>
  <c r="C447"/>
  <c r="E447"/>
  <c r="F447"/>
  <c r="A448"/>
  <c r="B448"/>
  <c r="C448"/>
  <c r="E448"/>
  <c r="F448"/>
  <c r="A449"/>
  <c r="B449"/>
  <c r="C449"/>
  <c r="E449"/>
  <c r="F449"/>
  <c r="A450"/>
  <c r="B450"/>
  <c r="C450"/>
  <c r="E450"/>
  <c r="F450"/>
  <c r="A451"/>
  <c r="B451"/>
  <c r="C451"/>
  <c r="E451"/>
  <c r="F451"/>
  <c r="A452"/>
  <c r="B452"/>
  <c r="C452"/>
  <c r="E452"/>
  <c r="F452"/>
  <c r="A453"/>
  <c r="B453"/>
  <c r="C453"/>
  <c r="E453"/>
  <c r="F453"/>
  <c r="A454"/>
  <c r="B454"/>
  <c r="C454"/>
  <c r="E454"/>
  <c r="F454"/>
  <c r="A455"/>
  <c r="B455"/>
  <c r="C455"/>
  <c r="E455"/>
  <c r="F455"/>
  <c r="A456"/>
  <c r="B456"/>
  <c r="C456"/>
  <c r="E456"/>
  <c r="F456"/>
  <c r="A457"/>
  <c r="B457"/>
  <c r="C457"/>
  <c r="E457"/>
  <c r="F457"/>
  <c r="A458"/>
  <c r="B458"/>
  <c r="C458"/>
  <c r="E458"/>
  <c r="F458"/>
  <c r="A459"/>
  <c r="B459"/>
  <c r="C459"/>
  <c r="E459"/>
  <c r="F459"/>
  <c r="A460"/>
  <c r="B460"/>
  <c r="C460"/>
  <c r="E460"/>
  <c r="F460"/>
  <c r="A461"/>
  <c r="B461"/>
  <c r="C461"/>
  <c r="E461"/>
  <c r="F461"/>
  <c r="A462"/>
  <c r="B462"/>
  <c r="C462"/>
  <c r="E462"/>
  <c r="F462"/>
  <c r="A463"/>
  <c r="B463"/>
  <c r="C463"/>
  <c r="E463"/>
  <c r="F463"/>
  <c r="A464"/>
  <c r="B464"/>
  <c r="C464"/>
  <c r="E464"/>
  <c r="F464"/>
  <c r="A465"/>
  <c r="B465"/>
  <c r="C465"/>
  <c r="E465"/>
  <c r="F465"/>
  <c r="A466"/>
  <c r="B466"/>
  <c r="C466"/>
  <c r="E466"/>
  <c r="F466"/>
  <c r="A467"/>
  <c r="B467"/>
  <c r="C467"/>
  <c r="E467"/>
  <c r="F467"/>
  <c r="A468"/>
  <c r="B468"/>
  <c r="C468"/>
  <c r="E468"/>
  <c r="F468"/>
  <c r="A469"/>
  <c r="B469"/>
  <c r="C469"/>
  <c r="E469"/>
  <c r="F469"/>
  <c r="A470"/>
  <c r="B470"/>
  <c r="C470"/>
  <c r="E470"/>
  <c r="F470"/>
  <c r="A471"/>
  <c r="B471"/>
  <c r="C471"/>
  <c r="E471"/>
  <c r="F471"/>
  <c r="A472"/>
  <c r="B472"/>
  <c r="C472"/>
  <c r="E472"/>
  <c r="F472"/>
  <c r="A473"/>
  <c r="B473"/>
  <c r="C473"/>
  <c r="E473"/>
  <c r="F473"/>
  <c r="A474"/>
  <c r="B474"/>
  <c r="C474"/>
  <c r="E474"/>
  <c r="F474"/>
  <c r="A475"/>
  <c r="B475"/>
  <c r="C475"/>
  <c r="E475"/>
  <c r="F475"/>
  <c r="A476"/>
  <c r="B476"/>
  <c r="C476"/>
  <c r="E476"/>
  <c r="F476"/>
  <c r="A477"/>
  <c r="B477"/>
  <c r="C477"/>
  <c r="E477"/>
  <c r="F477"/>
  <c r="A478"/>
  <c r="B478"/>
  <c r="C478"/>
  <c r="E478"/>
  <c r="F478"/>
  <c r="A479"/>
  <c r="B479"/>
  <c r="C479"/>
  <c r="E479"/>
  <c r="F479"/>
  <c r="A480"/>
  <c r="B480"/>
  <c r="C480"/>
  <c r="E480"/>
  <c r="F480"/>
  <c r="A481"/>
  <c r="B481"/>
  <c r="C481"/>
  <c r="E481"/>
  <c r="F481"/>
  <c r="A482"/>
  <c r="B482"/>
  <c r="C482"/>
  <c r="E482"/>
  <c r="F482"/>
  <c r="A483"/>
  <c r="B483"/>
  <c r="C483"/>
  <c r="E483"/>
  <c r="F483"/>
  <c r="A484"/>
  <c r="B484"/>
  <c r="C484"/>
  <c r="E484"/>
  <c r="F484"/>
  <c r="A485"/>
  <c r="B485"/>
  <c r="C485"/>
  <c r="E485"/>
  <c r="F485"/>
  <c r="A486"/>
  <c r="B486"/>
  <c r="C486"/>
  <c r="E486"/>
  <c r="F486"/>
  <c r="A487"/>
  <c r="B487"/>
  <c r="C487"/>
  <c r="E487"/>
  <c r="F487"/>
  <c r="A488"/>
  <c r="B488"/>
  <c r="C488"/>
  <c r="E488"/>
  <c r="F488"/>
  <c r="A489"/>
  <c r="B489"/>
  <c r="C489"/>
  <c r="E489"/>
  <c r="F489"/>
  <c r="A490"/>
  <c r="B490"/>
  <c r="C490"/>
  <c r="E490"/>
  <c r="F490"/>
  <c r="A491"/>
  <c r="B491"/>
  <c r="C491"/>
  <c r="E491"/>
  <c r="F491"/>
  <c r="A492"/>
  <c r="B492"/>
  <c r="C492"/>
  <c r="E492"/>
  <c r="F492"/>
  <c r="A493"/>
  <c r="B493"/>
  <c r="C493"/>
  <c r="E493"/>
  <c r="F493"/>
  <c r="A494"/>
  <c r="B494"/>
  <c r="C494"/>
  <c r="E494"/>
  <c r="F494"/>
  <c r="A495"/>
  <c r="B495"/>
  <c r="C495"/>
  <c r="E495"/>
  <c r="F495"/>
  <c r="A496"/>
  <c r="B496"/>
  <c r="C496"/>
  <c r="E496"/>
  <c r="F496"/>
  <c r="A497"/>
  <c r="B497"/>
  <c r="C497"/>
  <c r="E497"/>
  <c r="F497"/>
  <c r="A498"/>
  <c r="B498"/>
  <c r="C498"/>
  <c r="E498"/>
  <c r="F498"/>
  <c r="A499"/>
  <c r="B499"/>
  <c r="C499"/>
  <c r="E499"/>
  <c r="F499"/>
  <c r="A500"/>
  <c r="B500"/>
  <c r="C500"/>
  <c r="E500"/>
  <c r="F500"/>
  <c r="A501"/>
  <c r="B501"/>
  <c r="C501"/>
  <c r="E501"/>
  <c r="F501"/>
  <c r="A502"/>
  <c r="B502"/>
  <c r="C502"/>
  <c r="E502"/>
  <c r="F502"/>
  <c r="A503"/>
  <c r="B503"/>
  <c r="C503"/>
  <c r="E503"/>
  <c r="F503"/>
  <c r="A504"/>
  <c r="B504"/>
  <c r="C504"/>
  <c r="E504"/>
  <c r="F504"/>
  <c r="A505"/>
  <c r="B505"/>
  <c r="C505"/>
  <c r="E505"/>
  <c r="F505"/>
  <c r="A506"/>
  <c r="B506"/>
  <c r="C506"/>
  <c r="E506"/>
  <c r="F506"/>
  <c r="A507"/>
  <c r="B507"/>
  <c r="C507"/>
  <c r="E507"/>
  <c r="F507"/>
  <c r="A508"/>
  <c r="B508"/>
  <c r="C508"/>
  <c r="E508"/>
  <c r="F508"/>
  <c r="A509"/>
  <c r="B509"/>
  <c r="C509"/>
  <c r="E509"/>
  <c r="F509"/>
  <c r="A510"/>
  <c r="B510"/>
  <c r="C510"/>
  <c r="E510"/>
  <c r="F510"/>
  <c r="A511"/>
  <c r="B511"/>
  <c r="C511"/>
  <c r="E511"/>
  <c r="F511"/>
  <c r="A512"/>
  <c r="B512"/>
  <c r="C512"/>
  <c r="E512"/>
  <c r="F512"/>
  <c r="A513"/>
  <c r="B513"/>
  <c r="C513"/>
  <c r="E513"/>
  <c r="F513"/>
  <c r="A514"/>
  <c r="B514"/>
  <c r="C514"/>
  <c r="E514"/>
  <c r="F514"/>
  <c r="A515"/>
  <c r="B515"/>
  <c r="C515"/>
  <c r="E515"/>
  <c r="F515"/>
  <c r="A516"/>
  <c r="B516"/>
  <c r="C516"/>
  <c r="E516"/>
  <c r="F516"/>
  <c r="A517"/>
  <c r="B517"/>
  <c r="C517"/>
  <c r="E517"/>
  <c r="F517"/>
  <c r="A518"/>
  <c r="B518"/>
  <c r="C518"/>
  <c r="E518"/>
  <c r="F518"/>
  <c r="A519"/>
  <c r="B519"/>
  <c r="C519"/>
  <c r="E519"/>
  <c r="F519"/>
  <c r="A520"/>
  <c r="B520"/>
  <c r="C520"/>
  <c r="E520"/>
  <c r="F520"/>
  <c r="A521"/>
  <c r="B521"/>
  <c r="C521"/>
  <c r="E521"/>
  <c r="F521"/>
  <c r="A522"/>
  <c r="B522"/>
  <c r="C522"/>
  <c r="E522"/>
  <c r="F522"/>
  <c r="A523"/>
  <c r="B523"/>
  <c r="C523"/>
  <c r="E523"/>
  <c r="F523"/>
  <c r="A524"/>
  <c r="B524"/>
  <c r="C524"/>
  <c r="E524"/>
  <c r="F524"/>
  <c r="A525"/>
  <c r="B525"/>
  <c r="C525"/>
  <c r="E525"/>
  <c r="F525"/>
  <c r="A526"/>
  <c r="B526"/>
  <c r="C526"/>
  <c r="E526"/>
  <c r="F526"/>
  <c r="A527"/>
  <c r="B527"/>
  <c r="C527"/>
  <c r="E527"/>
  <c r="F527"/>
  <c r="A528"/>
  <c r="B528"/>
  <c r="C528"/>
  <c r="E528"/>
  <c r="F528"/>
  <c r="A1" i="8"/>
  <c r="B1"/>
  <c r="C1"/>
  <c r="D1"/>
  <c r="E1"/>
  <c r="F1"/>
  <c r="A2"/>
  <c r="B2"/>
  <c r="C2"/>
  <c r="E2"/>
  <c r="F2"/>
  <c r="A3"/>
  <c r="B3"/>
  <c r="C3"/>
  <c r="E3"/>
  <c r="F3"/>
  <c r="A4"/>
  <c r="B4"/>
  <c r="C4"/>
  <c r="E4"/>
  <c r="F4"/>
  <c r="A5"/>
  <c r="B5"/>
  <c r="C5"/>
  <c r="E5"/>
  <c r="F5"/>
  <c r="A6"/>
  <c r="B6"/>
  <c r="C6"/>
  <c r="E6"/>
  <c r="F6"/>
  <c r="A7"/>
  <c r="B7"/>
  <c r="C7"/>
  <c r="E7"/>
  <c r="F7"/>
  <c r="A8"/>
  <c r="B8"/>
  <c r="C8"/>
  <c r="E8"/>
  <c r="F8"/>
  <c r="A9"/>
  <c r="B9"/>
  <c r="C9"/>
  <c r="E9"/>
  <c r="F9"/>
  <c r="A10"/>
  <c r="B10"/>
  <c r="C10"/>
  <c r="E10"/>
  <c r="F10"/>
  <c r="A11"/>
  <c r="B11"/>
  <c r="C11"/>
  <c r="E11"/>
  <c r="F11"/>
  <c r="A12"/>
  <c r="B12"/>
  <c r="C12"/>
  <c r="E12"/>
  <c r="F12"/>
  <c r="A13"/>
  <c r="B13"/>
  <c r="C13"/>
  <c r="E13"/>
  <c r="F13"/>
  <c r="A14"/>
  <c r="B14"/>
  <c r="C14"/>
  <c r="E14"/>
  <c r="F14"/>
  <c r="A15"/>
  <c r="B15"/>
  <c r="C15"/>
  <c r="E15"/>
  <c r="F15"/>
  <c r="A16"/>
  <c r="B16"/>
  <c r="C16"/>
  <c r="E16"/>
  <c r="F16"/>
  <c r="A17"/>
  <c r="B17"/>
  <c r="C17"/>
  <c r="E17"/>
  <c r="F17"/>
  <c r="A18"/>
  <c r="B18"/>
  <c r="C18"/>
  <c r="E18"/>
  <c r="F18"/>
  <c r="A19"/>
  <c r="B19"/>
  <c r="C19"/>
  <c r="E19"/>
  <c r="F19"/>
  <c r="A20"/>
  <c r="B20"/>
  <c r="C20"/>
  <c r="E20"/>
  <c r="F20"/>
  <c r="A21"/>
  <c r="B21"/>
  <c r="C21"/>
  <c r="E21"/>
  <c r="F21"/>
  <c r="A22"/>
  <c r="B22"/>
  <c r="C22"/>
  <c r="E22"/>
  <c r="F22"/>
  <c r="A23"/>
  <c r="B23"/>
  <c r="C23"/>
  <c r="E23"/>
  <c r="F23"/>
  <c r="A24"/>
  <c r="B24"/>
  <c r="C24"/>
  <c r="E24"/>
  <c r="F24"/>
  <c r="A25"/>
  <c r="B25"/>
  <c r="C25"/>
  <c r="E25"/>
  <c r="F25"/>
  <c r="A26"/>
  <c r="B26"/>
  <c r="C26"/>
  <c r="E26"/>
  <c r="F26"/>
  <c r="A27"/>
  <c r="B27"/>
  <c r="C27"/>
  <c r="E27"/>
  <c r="F27"/>
  <c r="A28"/>
  <c r="B28"/>
  <c r="C28"/>
  <c r="E28"/>
  <c r="F28"/>
  <c r="A29"/>
  <c r="B29"/>
  <c r="C29"/>
  <c r="E29"/>
  <c r="F29"/>
  <c r="A30"/>
  <c r="B30"/>
  <c r="C30"/>
  <c r="E30"/>
  <c r="F30"/>
  <c r="A31"/>
  <c r="B31"/>
  <c r="C31"/>
  <c r="E31"/>
  <c r="F31"/>
  <c r="A32"/>
  <c r="B32"/>
  <c r="C32"/>
  <c r="E32"/>
  <c r="F32"/>
  <c r="A33"/>
  <c r="B33"/>
  <c r="C33"/>
  <c r="E33"/>
  <c r="F33"/>
  <c r="A34"/>
  <c r="B34"/>
  <c r="C34"/>
  <c r="E34"/>
  <c r="F34"/>
  <c r="A35"/>
  <c r="B35"/>
  <c r="C35"/>
  <c r="E35"/>
  <c r="F35"/>
  <c r="A36"/>
  <c r="B36"/>
  <c r="C36"/>
  <c r="E36"/>
  <c r="F36"/>
  <c r="A37"/>
  <c r="B37"/>
  <c r="C37"/>
  <c r="E37"/>
  <c r="F37"/>
  <c r="A38"/>
  <c r="B38"/>
  <c r="C38"/>
  <c r="E38"/>
  <c r="F38"/>
  <c r="A39"/>
  <c r="B39"/>
  <c r="C39"/>
  <c r="E39"/>
  <c r="F39"/>
  <c r="A40"/>
  <c r="B40"/>
  <c r="C40"/>
  <c r="E40"/>
  <c r="F40"/>
  <c r="A41"/>
  <c r="B41"/>
  <c r="C41"/>
  <c r="E41"/>
  <c r="F41"/>
  <c r="A42"/>
  <c r="B42"/>
  <c r="C42"/>
  <c r="E42"/>
  <c r="F42"/>
  <c r="A43"/>
  <c r="B43"/>
  <c r="C43"/>
  <c r="E43"/>
  <c r="F43"/>
  <c r="A44"/>
  <c r="B44"/>
  <c r="C44"/>
  <c r="E44"/>
  <c r="F44"/>
  <c r="A45"/>
  <c r="B45"/>
  <c r="C45"/>
  <c r="E45"/>
  <c r="F45"/>
  <c r="A46"/>
  <c r="B46"/>
  <c r="C46"/>
  <c r="E46"/>
  <c r="F46"/>
  <c r="A47"/>
  <c r="B47"/>
  <c r="C47"/>
  <c r="E47"/>
  <c r="F47"/>
  <c r="A48"/>
  <c r="B48"/>
  <c r="C48"/>
  <c r="E48"/>
  <c r="F48"/>
  <c r="A49"/>
  <c r="B49"/>
  <c r="C49"/>
  <c r="E49"/>
  <c r="F49"/>
  <c r="A50"/>
  <c r="B50"/>
  <c r="C50"/>
  <c r="E50"/>
  <c r="F50"/>
  <c r="A51"/>
  <c r="B51"/>
  <c r="C51"/>
  <c r="E51"/>
  <c r="F51"/>
  <c r="A52"/>
  <c r="B52"/>
  <c r="C52"/>
  <c r="E52"/>
  <c r="F52"/>
  <c r="A53"/>
  <c r="B53"/>
  <c r="C53"/>
  <c r="E53"/>
  <c r="F53"/>
  <c r="A54"/>
  <c r="B54"/>
  <c r="C54"/>
  <c r="E54"/>
  <c r="F54"/>
  <c r="A55"/>
  <c r="B55"/>
  <c r="C55"/>
  <c r="E55"/>
  <c r="F55"/>
  <c r="A56"/>
  <c r="B56"/>
  <c r="C56"/>
  <c r="E56"/>
  <c r="F56"/>
  <c r="A57"/>
  <c r="B57"/>
  <c r="C57"/>
  <c r="E57"/>
  <c r="F57"/>
  <c r="A58"/>
  <c r="B58"/>
  <c r="C58"/>
  <c r="E58"/>
  <c r="F58"/>
  <c r="A59"/>
  <c r="B59"/>
  <c r="C59"/>
  <c r="E59"/>
  <c r="F59"/>
  <c r="A60"/>
  <c r="B60"/>
  <c r="C60"/>
  <c r="E60"/>
  <c r="F60"/>
  <c r="A61"/>
  <c r="B61"/>
  <c r="C61"/>
  <c r="E61"/>
  <c r="F61"/>
  <c r="A62"/>
  <c r="B62"/>
  <c r="C62"/>
  <c r="E62"/>
  <c r="F62"/>
  <c r="A63"/>
  <c r="B63"/>
  <c r="C63"/>
  <c r="E63"/>
  <c r="F63"/>
  <c r="A64"/>
  <c r="B64"/>
  <c r="C64"/>
  <c r="E64"/>
  <c r="F64"/>
  <c r="A65"/>
  <c r="B65"/>
  <c r="C65"/>
  <c r="E65"/>
  <c r="F65"/>
  <c r="A66"/>
  <c r="B66"/>
  <c r="C66"/>
  <c r="E66"/>
  <c r="F66"/>
  <c r="A67"/>
  <c r="B67"/>
  <c r="C67"/>
  <c r="E67"/>
  <c r="F67"/>
  <c r="A68"/>
  <c r="B68"/>
  <c r="C68"/>
  <c r="E68"/>
  <c r="F68"/>
  <c r="A69"/>
  <c r="B69"/>
  <c r="C69"/>
  <c r="E69"/>
  <c r="F69"/>
  <c r="A70"/>
  <c r="B70"/>
  <c r="C70"/>
  <c r="E70"/>
  <c r="F70"/>
  <c r="A71"/>
  <c r="B71"/>
  <c r="C71"/>
  <c r="E71"/>
  <c r="F71"/>
  <c r="A72"/>
  <c r="B72"/>
  <c r="C72"/>
  <c r="E72"/>
  <c r="F72"/>
  <c r="A73"/>
  <c r="B73"/>
  <c r="C73"/>
  <c r="E73"/>
  <c r="F73"/>
  <c r="A74"/>
  <c r="B74"/>
  <c r="C74"/>
  <c r="E74"/>
  <c r="F74"/>
  <c r="A75"/>
  <c r="B75"/>
  <c r="C75"/>
  <c r="E75"/>
  <c r="F75"/>
  <c r="A76"/>
  <c r="B76"/>
  <c r="C76"/>
  <c r="E76"/>
  <c r="F76"/>
  <c r="A77"/>
  <c r="B77"/>
  <c r="C77"/>
  <c r="E77"/>
  <c r="F77"/>
  <c r="A78"/>
  <c r="B78"/>
  <c r="C78"/>
  <c r="E78"/>
  <c r="F78"/>
  <c r="A79"/>
  <c r="B79"/>
  <c r="C79"/>
  <c r="E79"/>
  <c r="F79"/>
  <c r="A80"/>
  <c r="B80"/>
  <c r="C80"/>
  <c r="E80"/>
  <c r="F80"/>
  <c r="A81"/>
  <c r="B81"/>
  <c r="C81"/>
  <c r="E81"/>
  <c r="F81"/>
  <c r="A82"/>
  <c r="B82"/>
  <c r="C82"/>
  <c r="E82"/>
  <c r="F82"/>
  <c r="A83"/>
  <c r="B83"/>
  <c r="C83"/>
  <c r="E83"/>
  <c r="F83"/>
  <c r="A84"/>
  <c r="B84"/>
  <c r="C84"/>
  <c r="E84"/>
  <c r="F84"/>
  <c r="A85"/>
  <c r="B85"/>
  <c r="C85"/>
  <c r="E85"/>
  <c r="F85"/>
  <c r="A86"/>
  <c r="B86"/>
  <c r="C86"/>
  <c r="E86"/>
  <c r="F86"/>
  <c r="A87"/>
  <c r="B87"/>
  <c r="C87"/>
  <c r="E87"/>
  <c r="F87"/>
  <c r="A88"/>
  <c r="B88"/>
  <c r="C88"/>
  <c r="E88"/>
  <c r="F88"/>
  <c r="A89"/>
  <c r="B89"/>
  <c r="C89"/>
  <c r="E89"/>
  <c r="F89"/>
  <c r="A90"/>
  <c r="B90"/>
  <c r="C90"/>
  <c r="E90"/>
  <c r="F90"/>
  <c r="A91"/>
  <c r="B91"/>
  <c r="C91"/>
  <c r="E91"/>
  <c r="F91"/>
  <c r="A92"/>
  <c r="B92"/>
  <c r="C92"/>
  <c r="E92"/>
  <c r="F92"/>
  <c r="A93"/>
  <c r="B93"/>
  <c r="C93"/>
  <c r="E93"/>
  <c r="F93"/>
  <c r="A94"/>
  <c r="B94"/>
  <c r="C94"/>
  <c r="E94"/>
  <c r="F94"/>
  <c r="A95"/>
  <c r="B95"/>
  <c r="C95"/>
  <c r="E95"/>
  <c r="F95"/>
  <c r="A96"/>
  <c r="B96"/>
  <c r="C96"/>
  <c r="E96"/>
  <c r="F96"/>
  <c r="A97"/>
  <c r="B97"/>
  <c r="C97"/>
  <c r="E97"/>
  <c r="F97"/>
  <c r="A98"/>
  <c r="B98"/>
  <c r="C98"/>
  <c r="E98"/>
  <c r="F98"/>
  <c r="A99"/>
  <c r="B99"/>
  <c r="C99"/>
  <c r="E99"/>
  <c r="F99"/>
  <c r="A100"/>
  <c r="B100"/>
  <c r="C100"/>
  <c r="E100"/>
  <c r="F100"/>
  <c r="A101"/>
  <c r="B101"/>
  <c r="C101"/>
  <c r="E101"/>
  <c r="F101"/>
  <c r="A102"/>
  <c r="B102"/>
  <c r="C102"/>
  <c r="E102"/>
  <c r="F102"/>
  <c r="A103"/>
  <c r="B103"/>
  <c r="C103"/>
  <c r="E103"/>
  <c r="F103"/>
  <c r="A104"/>
  <c r="B104"/>
  <c r="C104"/>
  <c r="E104"/>
  <c r="F104"/>
  <c r="A105"/>
  <c r="B105"/>
  <c r="C105"/>
  <c r="E105"/>
  <c r="F105"/>
  <c r="A106"/>
  <c r="B106"/>
  <c r="C106"/>
  <c r="E106"/>
  <c r="F106"/>
  <c r="A107"/>
  <c r="B107"/>
  <c r="C107"/>
  <c r="E107"/>
  <c r="F107"/>
  <c r="A108"/>
  <c r="B108"/>
  <c r="C108"/>
  <c r="E108"/>
  <c r="F108"/>
  <c r="A109"/>
  <c r="B109"/>
  <c r="C109"/>
  <c r="E109"/>
  <c r="F109"/>
  <c r="A110"/>
  <c r="B110"/>
  <c r="C110"/>
  <c r="E110"/>
  <c r="F110"/>
  <c r="A111"/>
  <c r="B111"/>
  <c r="C111"/>
  <c r="E111"/>
  <c r="F111"/>
  <c r="A112"/>
  <c r="B112"/>
  <c r="C112"/>
  <c r="E112"/>
  <c r="F112"/>
  <c r="A113"/>
  <c r="B113"/>
  <c r="C113"/>
  <c r="E113"/>
  <c r="F113"/>
  <c r="A114"/>
  <c r="B114"/>
  <c r="C114"/>
  <c r="E114"/>
  <c r="F114"/>
  <c r="A115"/>
  <c r="B115"/>
  <c r="C115"/>
  <c r="E115"/>
  <c r="F115"/>
  <c r="A116"/>
  <c r="B116"/>
  <c r="C116"/>
  <c r="E116"/>
  <c r="F116"/>
  <c r="A117"/>
  <c r="B117"/>
  <c r="C117"/>
  <c r="E117"/>
  <c r="F117"/>
  <c r="A118"/>
  <c r="B118"/>
  <c r="C118"/>
  <c r="E118"/>
  <c r="F118"/>
  <c r="A119"/>
  <c r="B119"/>
  <c r="C119"/>
  <c r="E119"/>
  <c r="F119"/>
  <c r="A120"/>
  <c r="B120"/>
  <c r="C120"/>
  <c r="E120"/>
  <c r="F120"/>
  <c r="A121"/>
  <c r="B121"/>
  <c r="C121"/>
  <c r="E121"/>
  <c r="F121"/>
  <c r="A122"/>
  <c r="B122"/>
  <c r="C122"/>
  <c r="E122"/>
  <c r="F122"/>
  <c r="A123"/>
  <c r="B123"/>
  <c r="C123"/>
  <c r="E123"/>
  <c r="F123"/>
  <c r="A124"/>
  <c r="B124"/>
  <c r="C124"/>
  <c r="E124"/>
  <c r="F124"/>
  <c r="A125"/>
  <c r="B125"/>
  <c r="C125"/>
  <c r="E125"/>
  <c r="F125"/>
  <c r="A126"/>
  <c r="B126"/>
  <c r="C126"/>
  <c r="E126"/>
  <c r="F126"/>
  <c r="A127"/>
  <c r="B127"/>
  <c r="C127"/>
  <c r="E127"/>
  <c r="F127"/>
  <c r="A128"/>
  <c r="B128"/>
  <c r="C128"/>
  <c r="E128"/>
  <c r="F128"/>
  <c r="A129"/>
  <c r="B129"/>
  <c r="C129"/>
  <c r="E129"/>
  <c r="F129"/>
  <c r="A130"/>
  <c r="B130"/>
  <c r="C130"/>
  <c r="E130"/>
  <c r="F130"/>
  <c r="A131"/>
  <c r="B131"/>
  <c r="C131"/>
  <c r="E131"/>
  <c r="F131"/>
  <c r="A132"/>
  <c r="B132"/>
  <c r="C132"/>
  <c r="E132"/>
  <c r="F132"/>
  <c r="A133"/>
  <c r="B133"/>
  <c r="C133"/>
  <c r="E133"/>
  <c r="F133"/>
  <c r="A134"/>
  <c r="B134"/>
  <c r="C134"/>
  <c r="E134"/>
  <c r="F134"/>
  <c r="A135"/>
  <c r="B135"/>
  <c r="C135"/>
  <c r="E135"/>
  <c r="F135"/>
  <c r="A136"/>
  <c r="B136"/>
  <c r="C136"/>
  <c r="E136"/>
  <c r="F136"/>
  <c r="A137"/>
  <c r="B137"/>
  <c r="C137"/>
  <c r="E137"/>
  <c r="F137"/>
  <c r="A138"/>
  <c r="B138"/>
  <c r="C138"/>
  <c r="E138"/>
  <c r="F138"/>
  <c r="A139"/>
  <c r="B139"/>
  <c r="C139"/>
  <c r="E139"/>
  <c r="F139"/>
  <c r="A140"/>
  <c r="B140"/>
  <c r="C140"/>
  <c r="E140"/>
  <c r="F140"/>
  <c r="A141"/>
  <c r="B141"/>
  <c r="C141"/>
  <c r="E141"/>
  <c r="F141"/>
  <c r="A142"/>
  <c r="B142"/>
  <c r="C142"/>
  <c r="E142"/>
  <c r="F142"/>
  <c r="A143"/>
  <c r="B143"/>
  <c r="C143"/>
  <c r="E143"/>
  <c r="F143"/>
  <c r="A144"/>
  <c r="B144"/>
  <c r="C144"/>
  <c r="E144"/>
  <c r="F144"/>
  <c r="A145"/>
  <c r="B145"/>
  <c r="C145"/>
  <c r="E145"/>
  <c r="F145"/>
  <c r="A146"/>
  <c r="B146"/>
  <c r="C146"/>
  <c r="E146"/>
  <c r="F146"/>
  <c r="A147"/>
  <c r="B147"/>
  <c r="C147"/>
  <c r="E147"/>
  <c r="F147"/>
  <c r="A148"/>
  <c r="B148"/>
  <c r="C148"/>
  <c r="E148"/>
  <c r="F148"/>
  <c r="A149"/>
  <c r="B149"/>
  <c r="C149"/>
  <c r="E149"/>
  <c r="F149"/>
  <c r="A150"/>
  <c r="B150"/>
  <c r="C150"/>
  <c r="E150"/>
  <c r="F150"/>
  <c r="A151"/>
  <c r="B151"/>
  <c r="C151"/>
  <c r="E151"/>
  <c r="F151"/>
  <c r="A152"/>
  <c r="B152"/>
  <c r="C152"/>
  <c r="E152"/>
  <c r="F152"/>
  <c r="A153"/>
  <c r="B153"/>
  <c r="C153"/>
  <c r="E153"/>
  <c r="F153"/>
  <c r="A154"/>
  <c r="B154"/>
  <c r="C154"/>
  <c r="E154"/>
  <c r="F154"/>
  <c r="A155"/>
  <c r="B155"/>
  <c r="C155"/>
  <c r="E155"/>
  <c r="F155"/>
  <c r="A156"/>
  <c r="B156"/>
  <c r="C156"/>
  <c r="E156"/>
  <c r="F156"/>
  <c r="A157"/>
  <c r="B157"/>
  <c r="C157"/>
  <c r="E157"/>
  <c r="F157"/>
  <c r="A158"/>
  <c r="B158"/>
  <c r="C158"/>
  <c r="E158"/>
  <c r="F158"/>
  <c r="A159"/>
  <c r="B159"/>
  <c r="C159"/>
  <c r="E159"/>
  <c r="F159"/>
  <c r="A160"/>
  <c r="B160"/>
  <c r="C160"/>
  <c r="E160"/>
  <c r="F160"/>
  <c r="A161"/>
  <c r="B161"/>
  <c r="C161"/>
  <c r="E161"/>
  <c r="F161"/>
  <c r="A162"/>
  <c r="B162"/>
  <c r="C162"/>
  <c r="E162"/>
  <c r="F162"/>
  <c r="A163"/>
  <c r="B163"/>
  <c r="C163"/>
  <c r="E163"/>
  <c r="F163"/>
  <c r="A164"/>
  <c r="B164"/>
  <c r="C164"/>
  <c r="E164"/>
  <c r="F164"/>
  <c r="A165"/>
  <c r="B165"/>
  <c r="C165"/>
  <c r="E165"/>
  <c r="F165"/>
  <c r="A166"/>
  <c r="B166"/>
  <c r="C166"/>
  <c r="E166"/>
  <c r="F166"/>
  <c r="A167"/>
  <c r="B167"/>
  <c r="C167"/>
  <c r="E167"/>
  <c r="F167"/>
  <c r="A168"/>
  <c r="B168"/>
  <c r="C168"/>
  <c r="E168"/>
  <c r="F168"/>
  <c r="A169"/>
  <c r="B169"/>
  <c r="C169"/>
  <c r="E169"/>
  <c r="F169"/>
  <c r="A170"/>
  <c r="B170"/>
  <c r="C170"/>
  <c r="E170"/>
  <c r="F170"/>
  <c r="A171"/>
  <c r="B171"/>
  <c r="C171"/>
  <c r="E171"/>
  <c r="F171"/>
  <c r="A172"/>
  <c r="B172"/>
  <c r="C172"/>
  <c r="E172"/>
  <c r="F172"/>
  <c r="A173"/>
  <c r="B173"/>
  <c r="C173"/>
  <c r="E173"/>
  <c r="F173"/>
  <c r="A174"/>
  <c r="B174"/>
  <c r="C174"/>
  <c r="E174"/>
  <c r="F174"/>
  <c r="A175"/>
  <c r="B175"/>
  <c r="C175"/>
  <c r="E175"/>
  <c r="F175"/>
  <c r="A176"/>
  <c r="B176"/>
  <c r="C176"/>
  <c r="E176"/>
  <c r="F176"/>
  <c r="A177"/>
  <c r="B177"/>
  <c r="C177"/>
  <c r="E177"/>
  <c r="F177"/>
  <c r="A178"/>
  <c r="B178"/>
  <c r="C178"/>
  <c r="E178"/>
  <c r="F178"/>
  <c r="A179"/>
  <c r="B179"/>
  <c r="C179"/>
  <c r="E179"/>
  <c r="F179"/>
  <c r="A180"/>
  <c r="B180"/>
  <c r="C180"/>
  <c r="E180"/>
  <c r="F180"/>
  <c r="A181"/>
  <c r="B181"/>
  <c r="C181"/>
  <c r="E181"/>
  <c r="F181"/>
  <c r="A182"/>
  <c r="B182"/>
  <c r="C182"/>
  <c r="E182"/>
  <c r="F182"/>
  <c r="A183"/>
  <c r="B183"/>
  <c r="C183"/>
  <c r="E183"/>
  <c r="F183"/>
  <c r="A184"/>
  <c r="B184"/>
  <c r="C184"/>
  <c r="E184"/>
  <c r="F184"/>
  <c r="A185"/>
  <c r="B185"/>
  <c r="C185"/>
  <c r="E185"/>
  <c r="F185"/>
  <c r="A186"/>
  <c r="B186"/>
  <c r="C186"/>
  <c r="E186"/>
  <c r="F186"/>
  <c r="A187"/>
  <c r="B187"/>
  <c r="C187"/>
  <c r="E187"/>
  <c r="F187"/>
  <c r="A188"/>
  <c r="B188"/>
  <c r="C188"/>
  <c r="E188"/>
  <c r="F188"/>
  <c r="A189"/>
  <c r="B189"/>
  <c r="C189"/>
  <c r="E189"/>
  <c r="F189"/>
  <c r="A190"/>
  <c r="B190"/>
  <c r="C190"/>
  <c r="E190"/>
  <c r="F190"/>
  <c r="A191"/>
  <c r="B191"/>
  <c r="C191"/>
  <c r="E191"/>
  <c r="F191"/>
  <c r="A192"/>
  <c r="B192"/>
  <c r="C192"/>
  <c r="E192"/>
  <c r="F192"/>
  <c r="A193"/>
  <c r="B193"/>
  <c r="C193"/>
  <c r="E193"/>
  <c r="F193"/>
  <c r="A194"/>
  <c r="B194"/>
  <c r="C194"/>
  <c r="E194"/>
  <c r="F194"/>
  <c r="A195"/>
  <c r="B195"/>
  <c r="C195"/>
  <c r="E195"/>
  <c r="F195"/>
  <c r="A196"/>
  <c r="B196"/>
  <c r="C196"/>
  <c r="E196"/>
  <c r="F196"/>
  <c r="A197"/>
  <c r="B197"/>
  <c r="C197"/>
  <c r="E197"/>
  <c r="F197"/>
  <c r="A198"/>
  <c r="B198"/>
  <c r="C198"/>
  <c r="E198"/>
  <c r="F198"/>
  <c r="A199"/>
  <c r="B199"/>
  <c r="C199"/>
  <c r="E199"/>
  <c r="F199"/>
  <c r="A200"/>
  <c r="B200"/>
  <c r="C200"/>
  <c r="E200"/>
  <c r="F200"/>
  <c r="A201"/>
  <c r="B201"/>
  <c r="C201"/>
  <c r="E201"/>
  <c r="F201"/>
  <c r="A202"/>
  <c r="B202"/>
  <c r="C202"/>
  <c r="E202"/>
  <c r="F202"/>
  <c r="A203"/>
  <c r="B203"/>
  <c r="C203"/>
  <c r="E203"/>
  <c r="F203"/>
  <c r="A204"/>
  <c r="B204"/>
  <c r="C204"/>
  <c r="E204"/>
  <c r="F204"/>
  <c r="A205"/>
  <c r="B205"/>
  <c r="C205"/>
  <c r="E205"/>
  <c r="F205"/>
  <c r="A206"/>
  <c r="B206"/>
  <c r="C206"/>
  <c r="E206"/>
  <c r="F206"/>
  <c r="A207"/>
  <c r="B207"/>
  <c r="C207"/>
  <c r="E207"/>
  <c r="F207"/>
  <c r="A208"/>
  <c r="B208"/>
  <c r="C208"/>
  <c r="E208"/>
  <c r="F208"/>
  <c r="A209"/>
  <c r="B209"/>
  <c r="C209"/>
  <c r="E209"/>
  <c r="F209"/>
  <c r="A210"/>
  <c r="B210"/>
  <c r="C210"/>
  <c r="E210"/>
  <c r="F210"/>
  <c r="A211"/>
  <c r="B211"/>
  <c r="C211"/>
  <c r="E211"/>
  <c r="F211"/>
  <c r="A212"/>
  <c r="B212"/>
  <c r="C212"/>
  <c r="E212"/>
  <c r="F212"/>
  <c r="A213"/>
  <c r="B213"/>
  <c r="C213"/>
  <c r="E213"/>
  <c r="F213"/>
  <c r="A214"/>
  <c r="B214"/>
  <c r="C214"/>
  <c r="E214"/>
  <c r="F214"/>
  <c r="A215"/>
  <c r="B215"/>
  <c r="C215"/>
  <c r="E215"/>
  <c r="F215"/>
  <c r="A216"/>
  <c r="B216"/>
  <c r="C216"/>
  <c r="E216"/>
  <c r="F216"/>
  <c r="A217"/>
  <c r="B217"/>
  <c r="C217"/>
  <c r="E217"/>
  <c r="F217"/>
  <c r="A218"/>
  <c r="B218"/>
  <c r="C218"/>
  <c r="E218"/>
  <c r="F218"/>
  <c r="A219"/>
  <c r="B219"/>
  <c r="C219"/>
  <c r="E219"/>
  <c r="F219"/>
  <c r="A220"/>
  <c r="B220"/>
  <c r="C220"/>
  <c r="E220"/>
  <c r="F220"/>
  <c r="A221"/>
  <c r="B221"/>
  <c r="C221"/>
  <c r="E221"/>
  <c r="F221"/>
  <c r="A222"/>
  <c r="B222"/>
  <c r="C222"/>
  <c r="E222"/>
  <c r="F222"/>
  <c r="A223"/>
  <c r="B223"/>
  <c r="C223"/>
  <c r="E223"/>
  <c r="F223"/>
  <c r="A224"/>
  <c r="B224"/>
  <c r="C224"/>
  <c r="E224"/>
  <c r="F224"/>
  <c r="A225"/>
  <c r="B225"/>
  <c r="C225"/>
  <c r="E225"/>
  <c r="F225"/>
  <c r="A226"/>
  <c r="B226"/>
  <c r="C226"/>
  <c r="E226"/>
  <c r="F226"/>
  <c r="A227"/>
  <c r="B227"/>
  <c r="C227"/>
  <c r="E227"/>
  <c r="F227"/>
  <c r="A228"/>
  <c r="B228"/>
  <c r="C228"/>
  <c r="E228"/>
  <c r="F228"/>
  <c r="A229"/>
  <c r="B229"/>
  <c r="C229"/>
  <c r="E229"/>
  <c r="F229"/>
  <c r="A230"/>
  <c r="B230"/>
  <c r="C230"/>
  <c r="E230"/>
  <c r="F230"/>
  <c r="A231"/>
  <c r="B231"/>
  <c r="C231"/>
  <c r="E231"/>
  <c r="F231"/>
  <c r="A232"/>
  <c r="B232"/>
  <c r="C232"/>
  <c r="E232"/>
  <c r="F232"/>
  <c r="A233"/>
  <c r="B233"/>
  <c r="C233"/>
  <c r="E233"/>
  <c r="F233"/>
  <c r="A234"/>
  <c r="B234"/>
  <c r="C234"/>
  <c r="E234"/>
  <c r="F234"/>
  <c r="A235"/>
  <c r="B235"/>
  <c r="C235"/>
  <c r="E235"/>
  <c r="F235"/>
  <c r="A236"/>
  <c r="B236"/>
  <c r="C236"/>
  <c r="E236"/>
  <c r="F236"/>
  <c r="A237"/>
  <c r="B237"/>
  <c r="C237"/>
  <c r="E237"/>
  <c r="F237"/>
  <c r="A238"/>
  <c r="B238"/>
  <c r="C238"/>
  <c r="E238"/>
  <c r="F238"/>
  <c r="A239"/>
  <c r="B239"/>
  <c r="C239"/>
  <c r="E239"/>
  <c r="F239"/>
  <c r="A240"/>
  <c r="B240"/>
  <c r="C240"/>
  <c r="E240"/>
  <c r="F240"/>
  <c r="A241"/>
  <c r="B241"/>
  <c r="C241"/>
  <c r="E241"/>
  <c r="F241"/>
  <c r="A242"/>
  <c r="B242"/>
  <c r="C242"/>
  <c r="E242"/>
  <c r="F242"/>
  <c r="A243"/>
  <c r="B243"/>
  <c r="C243"/>
  <c r="E243"/>
  <c r="F243"/>
  <c r="A244"/>
  <c r="B244"/>
  <c r="C244"/>
  <c r="E244"/>
  <c r="F244"/>
  <c r="A245"/>
  <c r="B245"/>
  <c r="C245"/>
  <c r="E245"/>
  <c r="F245"/>
  <c r="A246"/>
  <c r="B246"/>
  <c r="C246"/>
  <c r="E246"/>
  <c r="F246"/>
  <c r="A247"/>
  <c r="B247"/>
  <c r="C247"/>
  <c r="E247"/>
  <c r="F247"/>
  <c r="A248"/>
  <c r="B248"/>
  <c r="C248"/>
  <c r="E248"/>
  <c r="F248"/>
  <c r="A249"/>
  <c r="B249"/>
  <c r="C249"/>
  <c r="E249"/>
  <c r="F249"/>
  <c r="A250"/>
  <c r="B250"/>
  <c r="C250"/>
  <c r="E250"/>
  <c r="F250"/>
  <c r="A251"/>
  <c r="B251"/>
  <c r="C251"/>
  <c r="E251"/>
  <c r="F251"/>
  <c r="A252"/>
  <c r="B252"/>
  <c r="C252"/>
  <c r="E252"/>
  <c r="F252"/>
  <c r="A253"/>
  <c r="B253"/>
  <c r="C253"/>
  <c r="E253"/>
  <c r="F253"/>
  <c r="A254"/>
  <c r="B254"/>
  <c r="C254"/>
  <c r="E254"/>
  <c r="F254"/>
  <c r="A255"/>
  <c r="B255"/>
  <c r="C255"/>
  <c r="E255"/>
  <c r="F255"/>
  <c r="A256"/>
  <c r="B256"/>
  <c r="C256"/>
  <c r="E256"/>
  <c r="F256"/>
  <c r="A257"/>
  <c r="B257"/>
  <c r="C257"/>
  <c r="E257"/>
  <c r="F257"/>
  <c r="A258"/>
  <c r="B258"/>
  <c r="C258"/>
  <c r="E258"/>
  <c r="F258"/>
  <c r="A259"/>
  <c r="B259"/>
  <c r="C259"/>
  <c r="E259"/>
  <c r="F259"/>
  <c r="A260"/>
  <c r="B260"/>
  <c r="C260"/>
  <c r="E260"/>
  <c r="F260"/>
  <c r="A261"/>
  <c r="B261"/>
  <c r="C261"/>
  <c r="E261"/>
  <c r="F261"/>
  <c r="A262"/>
  <c r="B262"/>
  <c r="C262"/>
  <c r="E262"/>
  <c r="F262"/>
  <c r="A263"/>
  <c r="B263"/>
  <c r="C263"/>
  <c r="E263"/>
  <c r="F263"/>
  <c r="A264"/>
  <c r="B264"/>
  <c r="C264"/>
  <c r="E264"/>
  <c r="F264"/>
  <c r="A265"/>
  <c r="B265"/>
  <c r="C265"/>
  <c r="E265"/>
  <c r="F265"/>
  <c r="A266"/>
  <c r="B266"/>
  <c r="C266"/>
  <c r="E266"/>
  <c r="F266"/>
  <c r="A267"/>
  <c r="B267"/>
  <c r="C267"/>
  <c r="E267"/>
  <c r="F267"/>
  <c r="A268"/>
  <c r="B268"/>
  <c r="C268"/>
  <c r="E268"/>
  <c r="F268"/>
  <c r="A269"/>
  <c r="B269"/>
  <c r="C269"/>
  <c r="E269"/>
  <c r="F269"/>
  <c r="A270"/>
  <c r="B270"/>
  <c r="C270"/>
  <c r="E270"/>
  <c r="F270"/>
  <c r="A271"/>
  <c r="B271"/>
  <c r="C271"/>
  <c r="E271"/>
  <c r="F271"/>
  <c r="A272"/>
  <c r="B272"/>
  <c r="C272"/>
  <c r="E272"/>
  <c r="F272"/>
  <c r="A273"/>
  <c r="B273"/>
  <c r="C273"/>
  <c r="E273"/>
  <c r="F273"/>
  <c r="A274"/>
  <c r="B274"/>
  <c r="C274"/>
  <c r="E274"/>
  <c r="F274"/>
  <c r="A275"/>
  <c r="B275"/>
  <c r="C275"/>
  <c r="E275"/>
  <c r="F275"/>
  <c r="A276"/>
  <c r="B276"/>
  <c r="C276"/>
  <c r="E276"/>
  <c r="F276"/>
  <c r="A277"/>
  <c r="B277"/>
  <c r="C277"/>
  <c r="E277"/>
  <c r="F277"/>
  <c r="A278"/>
  <c r="B278"/>
  <c r="C278"/>
  <c r="E278"/>
  <c r="F278"/>
  <c r="A279"/>
  <c r="B279"/>
  <c r="C279"/>
  <c r="E279"/>
  <c r="F279"/>
  <c r="A280"/>
  <c r="B280"/>
  <c r="C280"/>
  <c r="E280"/>
  <c r="F280"/>
  <c r="A281"/>
  <c r="B281"/>
  <c r="C281"/>
  <c r="E281"/>
  <c r="F281"/>
  <c r="A282"/>
  <c r="B282"/>
  <c r="C282"/>
  <c r="E282"/>
  <c r="F282"/>
  <c r="A283"/>
  <c r="B283"/>
  <c r="C283"/>
  <c r="E283"/>
  <c r="F283"/>
  <c r="A284"/>
  <c r="B284"/>
  <c r="C284"/>
  <c r="E284"/>
  <c r="F284"/>
  <c r="A285"/>
  <c r="B285"/>
  <c r="C285"/>
  <c r="E285"/>
  <c r="F285"/>
  <c r="A286"/>
  <c r="B286"/>
  <c r="C286"/>
  <c r="E286"/>
  <c r="F286"/>
  <c r="A287"/>
  <c r="B287"/>
  <c r="C287"/>
  <c r="E287"/>
  <c r="F287"/>
  <c r="A288"/>
  <c r="B288"/>
  <c r="C288"/>
  <c r="E288"/>
  <c r="F288"/>
  <c r="A289"/>
  <c r="B289"/>
  <c r="C289"/>
  <c r="E289"/>
  <c r="F289"/>
  <c r="A290"/>
  <c r="B290"/>
  <c r="C290"/>
  <c r="E290"/>
  <c r="F290"/>
  <c r="A291"/>
  <c r="B291"/>
  <c r="C291"/>
  <c r="E291"/>
  <c r="F291"/>
  <c r="A292"/>
  <c r="B292"/>
  <c r="C292"/>
  <c r="E292"/>
  <c r="F292"/>
  <c r="A293"/>
  <c r="B293"/>
  <c r="C293"/>
  <c r="E293"/>
  <c r="F293"/>
  <c r="A294"/>
  <c r="B294"/>
  <c r="C294"/>
  <c r="E294"/>
  <c r="F294"/>
  <c r="A295"/>
  <c r="B295"/>
  <c r="C295"/>
  <c r="E295"/>
  <c r="F295"/>
  <c r="A296"/>
  <c r="B296"/>
  <c r="C296"/>
  <c r="E296"/>
  <c r="F296"/>
  <c r="A297"/>
  <c r="B297"/>
  <c r="C297"/>
  <c r="E297"/>
  <c r="F297"/>
  <c r="A298"/>
  <c r="B298"/>
  <c r="C298"/>
  <c r="E298"/>
  <c r="F298"/>
  <c r="A299"/>
  <c r="B299"/>
  <c r="C299"/>
  <c r="E299"/>
  <c r="F299"/>
  <c r="A300"/>
  <c r="B300"/>
  <c r="C300"/>
  <c r="E300"/>
  <c r="F300"/>
  <c r="A301"/>
  <c r="B301"/>
  <c r="C301"/>
  <c r="E301"/>
  <c r="F301"/>
  <c r="A302"/>
  <c r="B302"/>
  <c r="C302"/>
  <c r="E302"/>
  <c r="F302"/>
  <c r="A303"/>
  <c r="B303"/>
  <c r="C303"/>
  <c r="E303"/>
  <c r="F303"/>
  <c r="A304"/>
  <c r="B304"/>
  <c r="C304"/>
  <c r="E304"/>
  <c r="F304"/>
  <c r="A305"/>
  <c r="B305"/>
  <c r="C305"/>
  <c r="E305"/>
  <c r="F305"/>
  <c r="A306"/>
  <c r="B306"/>
  <c r="C306"/>
  <c r="E306"/>
  <c r="F306"/>
  <c r="A307"/>
  <c r="B307"/>
  <c r="C307"/>
  <c r="E307"/>
  <c r="F307"/>
  <c r="A308"/>
  <c r="B308"/>
  <c r="C308"/>
  <c r="E308"/>
  <c r="F308"/>
  <c r="A309"/>
  <c r="B309"/>
  <c r="C309"/>
  <c r="E309"/>
  <c r="F309"/>
  <c r="A310"/>
  <c r="B310"/>
  <c r="C310"/>
  <c r="E310"/>
  <c r="F310"/>
  <c r="A311"/>
  <c r="B311"/>
  <c r="C311"/>
  <c r="E311"/>
  <c r="F311"/>
  <c r="A312"/>
  <c r="B312"/>
  <c r="C312"/>
  <c r="E312"/>
  <c r="F312"/>
  <c r="A313"/>
  <c r="B313"/>
  <c r="C313"/>
  <c r="E313"/>
  <c r="F313"/>
  <c r="A314"/>
  <c r="B314"/>
  <c r="C314"/>
  <c r="E314"/>
  <c r="F314"/>
  <c r="A315"/>
  <c r="B315"/>
  <c r="C315"/>
  <c r="E315"/>
  <c r="F315"/>
  <c r="A316"/>
  <c r="B316"/>
  <c r="C316"/>
  <c r="E316"/>
  <c r="F316"/>
  <c r="A317"/>
  <c r="B317"/>
  <c r="C317"/>
  <c r="E317"/>
  <c r="F317"/>
  <c r="A318"/>
  <c r="B318"/>
  <c r="C318"/>
  <c r="E318"/>
  <c r="F318"/>
  <c r="A319"/>
  <c r="B319"/>
  <c r="C319"/>
  <c r="E319"/>
  <c r="F319"/>
  <c r="A320"/>
  <c r="B320"/>
  <c r="C320"/>
  <c r="E320"/>
  <c r="F320"/>
  <c r="A321"/>
  <c r="B321"/>
  <c r="C321"/>
  <c r="E321"/>
  <c r="F321"/>
  <c r="A322"/>
  <c r="B322"/>
  <c r="C322"/>
  <c r="E322"/>
  <c r="F322"/>
  <c r="A323"/>
  <c r="B323"/>
  <c r="C323"/>
  <c r="E323"/>
  <c r="F323"/>
  <c r="A324"/>
  <c r="B324"/>
  <c r="C324"/>
  <c r="E324"/>
  <c r="F324"/>
  <c r="A325"/>
  <c r="B325"/>
  <c r="C325"/>
  <c r="E325"/>
  <c r="F325"/>
  <c r="A326"/>
  <c r="B326"/>
  <c r="C326"/>
  <c r="E326"/>
  <c r="F326"/>
  <c r="A327"/>
  <c r="B327"/>
  <c r="C327"/>
  <c r="E327"/>
  <c r="F327"/>
  <c r="A328"/>
  <c r="B328"/>
  <c r="C328"/>
  <c r="E328"/>
  <c r="F328"/>
  <c r="A329"/>
  <c r="B329"/>
  <c r="C329"/>
  <c r="E329"/>
  <c r="F329"/>
  <c r="A330"/>
  <c r="B330"/>
  <c r="C330"/>
  <c r="E330"/>
  <c r="F330"/>
  <c r="A331"/>
  <c r="B331"/>
  <c r="C331"/>
  <c r="E331"/>
  <c r="F331"/>
  <c r="A332"/>
  <c r="B332"/>
  <c r="C332"/>
  <c r="E332"/>
  <c r="F332"/>
  <c r="A333"/>
  <c r="B333"/>
  <c r="C333"/>
  <c r="E333"/>
  <c r="F333"/>
  <c r="A334"/>
  <c r="B334"/>
  <c r="C334"/>
  <c r="E334"/>
  <c r="F334"/>
  <c r="A335"/>
  <c r="B335"/>
  <c r="C335"/>
  <c r="E335"/>
  <c r="F335"/>
  <c r="A336"/>
  <c r="B336"/>
  <c r="C336"/>
  <c r="E336"/>
  <c r="F336"/>
  <c r="A337"/>
  <c r="B337"/>
  <c r="C337"/>
  <c r="E337"/>
  <c r="F337"/>
  <c r="A338"/>
  <c r="B338"/>
  <c r="C338"/>
  <c r="E338"/>
  <c r="F338"/>
  <c r="A339"/>
  <c r="B339"/>
  <c r="C339"/>
  <c r="E339"/>
  <c r="F339"/>
  <c r="A340"/>
  <c r="B340"/>
  <c r="C340"/>
  <c r="E340"/>
  <c r="F340"/>
  <c r="A341"/>
  <c r="B341"/>
  <c r="C341"/>
  <c r="E341"/>
  <c r="F341"/>
  <c r="A342"/>
  <c r="B342"/>
  <c r="C342"/>
  <c r="E342"/>
  <c r="F342"/>
  <c r="A343"/>
  <c r="B343"/>
  <c r="C343"/>
  <c r="E343"/>
  <c r="F343"/>
  <c r="A344"/>
  <c r="B344"/>
  <c r="C344"/>
  <c r="E344"/>
  <c r="F344"/>
  <c r="A345"/>
  <c r="B345"/>
  <c r="C345"/>
  <c r="E345"/>
  <c r="F345"/>
  <c r="A346"/>
  <c r="B346"/>
  <c r="C346"/>
  <c r="E346"/>
  <c r="F346"/>
  <c r="A347"/>
  <c r="B347"/>
  <c r="C347"/>
  <c r="E347"/>
  <c r="F347"/>
  <c r="A348"/>
  <c r="B348"/>
  <c r="C348"/>
  <c r="E348"/>
  <c r="F348"/>
  <c r="A349"/>
  <c r="B349"/>
  <c r="C349"/>
  <c r="E349"/>
  <c r="F349"/>
  <c r="A350"/>
  <c r="B350"/>
  <c r="C350"/>
  <c r="E350"/>
  <c r="F350"/>
  <c r="A351"/>
  <c r="B351"/>
  <c r="C351"/>
  <c r="E351"/>
  <c r="F351"/>
  <c r="A352"/>
  <c r="B352"/>
  <c r="C352"/>
  <c r="E352"/>
  <c r="F352"/>
  <c r="A353"/>
  <c r="B353"/>
  <c r="C353"/>
  <c r="E353"/>
  <c r="F353"/>
  <c r="A354"/>
  <c r="B354"/>
  <c r="C354"/>
  <c r="E354"/>
  <c r="F354"/>
  <c r="A355"/>
  <c r="B355"/>
  <c r="C355"/>
  <c r="E355"/>
  <c r="F355"/>
  <c r="A356"/>
  <c r="B356"/>
  <c r="C356"/>
  <c r="E356"/>
  <c r="F356"/>
  <c r="A357"/>
  <c r="B357"/>
  <c r="C357"/>
  <c r="E357"/>
  <c r="F357"/>
  <c r="A358"/>
  <c r="B358"/>
  <c r="C358"/>
  <c r="E358"/>
  <c r="F358"/>
  <c r="A359"/>
  <c r="B359"/>
  <c r="C359"/>
  <c r="E359"/>
  <c r="F359"/>
  <c r="A360"/>
  <c r="B360"/>
  <c r="C360"/>
  <c r="E360"/>
  <c r="F360"/>
  <c r="A361"/>
  <c r="B361"/>
  <c r="C361"/>
  <c r="E361"/>
  <c r="F361"/>
  <c r="A362"/>
  <c r="B362"/>
  <c r="C362"/>
  <c r="E362"/>
  <c r="F362"/>
  <c r="A363"/>
  <c r="B363"/>
  <c r="C363"/>
  <c r="E363"/>
  <c r="F363"/>
  <c r="A364"/>
  <c r="B364"/>
  <c r="C364"/>
  <c r="E364"/>
  <c r="F364"/>
  <c r="A365"/>
  <c r="B365"/>
  <c r="C365"/>
  <c r="E365"/>
  <c r="F365"/>
  <c r="A366"/>
  <c r="B366"/>
  <c r="C366"/>
  <c r="E366"/>
  <c r="F366"/>
  <c r="A367"/>
  <c r="B367"/>
  <c r="C367"/>
  <c r="E367"/>
  <c r="F367"/>
  <c r="A368"/>
  <c r="B368"/>
  <c r="C368"/>
  <c r="E368"/>
  <c r="F368"/>
  <c r="A369"/>
  <c r="B369"/>
  <c r="C369"/>
  <c r="E369"/>
  <c r="F369"/>
  <c r="A370"/>
  <c r="B370"/>
  <c r="C370"/>
  <c r="E370"/>
  <c r="F370"/>
  <c r="A371"/>
  <c r="B371"/>
  <c r="C371"/>
  <c r="E371"/>
  <c r="F371"/>
  <c r="A372"/>
  <c r="B372"/>
  <c r="C372"/>
  <c r="E372"/>
  <c r="F372"/>
  <c r="A373"/>
  <c r="B373"/>
  <c r="C373"/>
  <c r="E373"/>
  <c r="F373"/>
  <c r="A374"/>
  <c r="B374"/>
  <c r="C374"/>
  <c r="E374"/>
  <c r="F374"/>
  <c r="A375"/>
  <c r="B375"/>
  <c r="C375"/>
  <c r="E375"/>
  <c r="F375"/>
  <c r="A376"/>
  <c r="B376"/>
  <c r="C376"/>
  <c r="E376"/>
  <c r="F376"/>
  <c r="A377"/>
  <c r="B377"/>
  <c r="C377"/>
  <c r="E377"/>
  <c r="F377"/>
  <c r="A378"/>
  <c r="B378"/>
  <c r="C378"/>
  <c r="E378"/>
  <c r="F378"/>
  <c r="A379"/>
  <c r="B379"/>
  <c r="C379"/>
  <c r="E379"/>
  <c r="F379"/>
  <c r="A380"/>
  <c r="B380"/>
  <c r="C380"/>
  <c r="E380"/>
  <c r="F380"/>
  <c r="A381"/>
  <c r="B381"/>
  <c r="C381"/>
  <c r="E381"/>
  <c r="F381"/>
  <c r="A382"/>
  <c r="B382"/>
  <c r="C382"/>
  <c r="E382"/>
  <c r="F382"/>
  <c r="A383"/>
  <c r="B383"/>
  <c r="C383"/>
  <c r="E383"/>
  <c r="F383"/>
  <c r="A384"/>
  <c r="B384"/>
  <c r="C384"/>
  <c r="E384"/>
  <c r="F384"/>
  <c r="A385"/>
  <c r="B385"/>
  <c r="C385"/>
  <c r="E385"/>
  <c r="F385"/>
  <c r="A386"/>
  <c r="B386"/>
  <c r="C386"/>
  <c r="E386"/>
  <c r="F386"/>
  <c r="A387"/>
  <c r="B387"/>
  <c r="C387"/>
  <c r="E387"/>
  <c r="F387"/>
  <c r="A388"/>
  <c r="B388"/>
  <c r="C388"/>
  <c r="E388"/>
  <c r="F388"/>
  <c r="A389"/>
  <c r="B389"/>
  <c r="C389"/>
  <c r="E389"/>
  <c r="F389"/>
  <c r="A390"/>
  <c r="B390"/>
  <c r="C390"/>
  <c r="E390"/>
  <c r="F390"/>
  <c r="A391"/>
  <c r="B391"/>
  <c r="C391"/>
  <c r="E391"/>
  <c r="F391"/>
  <c r="A392"/>
  <c r="B392"/>
  <c r="C392"/>
  <c r="E392"/>
  <c r="F392"/>
  <c r="A393"/>
  <c r="B393"/>
  <c r="C393"/>
  <c r="E393"/>
  <c r="F393"/>
  <c r="A394"/>
  <c r="B394"/>
  <c r="C394"/>
  <c r="E394"/>
  <c r="F394"/>
  <c r="A395"/>
  <c r="B395"/>
  <c r="C395"/>
  <c r="E395"/>
  <c r="F395"/>
  <c r="A396"/>
  <c r="B396"/>
  <c r="C396"/>
  <c r="E396"/>
  <c r="F396"/>
  <c r="A397"/>
  <c r="B397"/>
  <c r="C397"/>
  <c r="E397"/>
  <c r="F397"/>
  <c r="A398"/>
  <c r="B398"/>
  <c r="C398"/>
  <c r="E398"/>
  <c r="F398"/>
  <c r="A399"/>
  <c r="B399"/>
  <c r="C399"/>
  <c r="E399"/>
  <c r="F399"/>
  <c r="A400"/>
  <c r="B400"/>
  <c r="C400"/>
  <c r="E400"/>
  <c r="F400"/>
  <c r="A401"/>
  <c r="B401"/>
  <c r="C401"/>
  <c r="E401"/>
  <c r="F401"/>
  <c r="A402"/>
  <c r="B402"/>
  <c r="C402"/>
  <c r="E402"/>
  <c r="F402"/>
  <c r="A403"/>
  <c r="B403"/>
  <c r="C403"/>
  <c r="E403"/>
  <c r="F403"/>
  <c r="A404"/>
  <c r="B404"/>
  <c r="C404"/>
  <c r="E404"/>
  <c r="F404"/>
  <c r="A405"/>
  <c r="B405"/>
  <c r="C405"/>
  <c r="E405"/>
  <c r="F405"/>
  <c r="A406"/>
  <c r="B406"/>
  <c r="C406"/>
  <c r="E406"/>
  <c r="F406"/>
  <c r="A407"/>
  <c r="B407"/>
  <c r="C407"/>
  <c r="E407"/>
  <c r="F407"/>
  <c r="A408"/>
  <c r="B408"/>
  <c r="C408"/>
  <c r="E408"/>
  <c r="F408"/>
  <c r="A409"/>
  <c r="B409"/>
  <c r="C409"/>
  <c r="E409"/>
  <c r="F409"/>
  <c r="A410"/>
  <c r="B410"/>
  <c r="C410"/>
  <c r="E410"/>
  <c r="F410"/>
  <c r="A411"/>
  <c r="B411"/>
  <c r="C411"/>
  <c r="E411"/>
  <c r="F411"/>
  <c r="A412"/>
  <c r="B412"/>
  <c r="C412"/>
  <c r="E412"/>
  <c r="F412"/>
  <c r="A413"/>
  <c r="B413"/>
  <c r="C413"/>
  <c r="E413"/>
  <c r="F413"/>
  <c r="A414"/>
  <c r="B414"/>
  <c r="C414"/>
  <c r="E414"/>
  <c r="F414"/>
  <c r="A415"/>
  <c r="B415"/>
  <c r="C415"/>
  <c r="E415"/>
  <c r="F415"/>
  <c r="A416"/>
  <c r="B416"/>
  <c r="C416"/>
  <c r="E416"/>
  <c r="F416"/>
  <c r="A417"/>
  <c r="B417"/>
  <c r="C417"/>
  <c r="E417"/>
  <c r="F417"/>
  <c r="A418"/>
  <c r="B418"/>
  <c r="C418"/>
  <c r="E418"/>
  <c r="F418"/>
  <c r="A419"/>
  <c r="B419"/>
  <c r="C419"/>
  <c r="E419"/>
  <c r="F419"/>
  <c r="A420"/>
  <c r="B420"/>
  <c r="C420"/>
  <c r="E420"/>
  <c r="F420"/>
  <c r="A421"/>
  <c r="B421"/>
  <c r="C421"/>
  <c r="E421"/>
  <c r="F421"/>
  <c r="A422"/>
  <c r="B422"/>
  <c r="C422"/>
  <c r="E422"/>
  <c r="F422"/>
  <c r="A423"/>
  <c r="B423"/>
  <c r="C423"/>
  <c r="E423"/>
  <c r="F423"/>
  <c r="A424"/>
  <c r="B424"/>
  <c r="C424"/>
  <c r="E424"/>
  <c r="F424"/>
  <c r="A425"/>
  <c r="B425"/>
  <c r="C425"/>
  <c r="E425"/>
  <c r="F425"/>
  <c r="A426"/>
  <c r="B426"/>
  <c r="C426"/>
  <c r="E426"/>
  <c r="F426"/>
  <c r="A427"/>
  <c r="B427"/>
  <c r="C427"/>
  <c r="E427"/>
  <c r="F427"/>
  <c r="A428"/>
  <c r="B428"/>
  <c r="C428"/>
  <c r="E428"/>
  <c r="F428"/>
  <c r="A429"/>
  <c r="B429"/>
  <c r="C429"/>
  <c r="E429"/>
  <c r="F429"/>
  <c r="A430"/>
  <c r="B430"/>
  <c r="C430"/>
  <c r="E430"/>
  <c r="F430"/>
  <c r="A431"/>
  <c r="B431"/>
  <c r="C431"/>
  <c r="E431"/>
  <c r="F431"/>
  <c r="A432"/>
  <c r="B432"/>
  <c r="C432"/>
  <c r="E432"/>
  <c r="F432"/>
  <c r="A433"/>
  <c r="B433"/>
  <c r="C433"/>
  <c r="E433"/>
  <c r="F433"/>
  <c r="A434"/>
  <c r="B434"/>
  <c r="C434"/>
  <c r="E434"/>
  <c r="F434"/>
  <c r="A435"/>
  <c r="B435"/>
  <c r="C435"/>
  <c r="E435"/>
  <c r="F435"/>
  <c r="A436"/>
  <c r="B436"/>
  <c r="C436"/>
  <c r="E436"/>
  <c r="F436"/>
  <c r="A437"/>
  <c r="B437"/>
  <c r="C437"/>
  <c r="E437"/>
  <c r="F437"/>
  <c r="A438"/>
  <c r="B438"/>
  <c r="C438"/>
  <c r="E438"/>
  <c r="F438"/>
  <c r="A439"/>
  <c r="B439"/>
  <c r="C439"/>
  <c r="E439"/>
  <c r="F439"/>
  <c r="A440"/>
  <c r="B440"/>
  <c r="C440"/>
  <c r="E440"/>
  <c r="F440"/>
  <c r="A441"/>
  <c r="B441"/>
  <c r="C441"/>
  <c r="E441"/>
  <c r="F441"/>
  <c r="A442"/>
  <c r="B442"/>
  <c r="C442"/>
  <c r="E442"/>
  <c r="F442"/>
  <c r="A443"/>
  <c r="B443"/>
  <c r="C443"/>
  <c r="E443"/>
  <c r="F443"/>
  <c r="A444"/>
  <c r="B444"/>
  <c r="C444"/>
  <c r="E444"/>
  <c r="F444"/>
  <c r="A445"/>
  <c r="B445"/>
  <c r="C445"/>
  <c r="E445"/>
  <c r="F445"/>
  <c r="A446"/>
  <c r="B446"/>
  <c r="C446"/>
  <c r="E446"/>
  <c r="F446"/>
  <c r="A447"/>
  <c r="B447"/>
  <c r="C447"/>
  <c r="E447"/>
  <c r="F447"/>
  <c r="A448"/>
  <c r="B448"/>
  <c r="C448"/>
  <c r="E448"/>
  <c r="F448"/>
  <c r="A449"/>
  <c r="B449"/>
  <c r="C449"/>
  <c r="E449"/>
  <c r="F449"/>
  <c r="A450"/>
  <c r="B450"/>
  <c r="C450"/>
  <c r="E450"/>
  <c r="F450"/>
  <c r="A451"/>
  <c r="B451"/>
  <c r="C451"/>
  <c r="E451"/>
  <c r="F451"/>
  <c r="A452"/>
  <c r="B452"/>
  <c r="C452"/>
  <c r="E452"/>
  <c r="F452"/>
  <c r="A453"/>
  <c r="B453"/>
  <c r="C453"/>
  <c r="E453"/>
  <c r="F453"/>
  <c r="A454"/>
  <c r="B454"/>
  <c r="C454"/>
  <c r="E454"/>
  <c r="F454"/>
  <c r="A455"/>
  <c r="B455"/>
  <c r="C455"/>
  <c r="E455"/>
  <c r="F455"/>
  <c r="A456"/>
  <c r="B456"/>
  <c r="C456"/>
  <c r="E456"/>
  <c r="F456"/>
  <c r="A457"/>
  <c r="B457"/>
  <c r="C457"/>
  <c r="E457"/>
  <c r="F457"/>
  <c r="A458"/>
  <c r="B458"/>
  <c r="C458"/>
  <c r="E458"/>
  <c r="F458"/>
  <c r="A459"/>
  <c r="B459"/>
  <c r="C459"/>
  <c r="E459"/>
  <c r="F459"/>
  <c r="A460"/>
  <c r="B460"/>
  <c r="C460"/>
  <c r="E460"/>
  <c r="F460"/>
  <c r="A461"/>
  <c r="B461"/>
  <c r="C461"/>
  <c r="E461"/>
  <c r="F461"/>
  <c r="A462"/>
  <c r="B462"/>
  <c r="C462"/>
  <c r="E462"/>
  <c r="F462"/>
  <c r="A463"/>
  <c r="B463"/>
  <c r="C463"/>
  <c r="E463"/>
  <c r="F463"/>
  <c r="A464"/>
  <c r="B464"/>
  <c r="C464"/>
  <c r="E464"/>
  <c r="F464"/>
  <c r="A465"/>
  <c r="B465"/>
  <c r="C465"/>
  <c r="E465"/>
  <c r="F465"/>
  <c r="A466"/>
  <c r="B466"/>
  <c r="C466"/>
  <c r="E466"/>
  <c r="F466"/>
  <c r="A467"/>
  <c r="B467"/>
  <c r="C467"/>
  <c r="E467"/>
  <c r="F467"/>
  <c r="A468"/>
  <c r="B468"/>
  <c r="C468"/>
  <c r="E468"/>
  <c r="F468"/>
  <c r="A469"/>
  <c r="B469"/>
  <c r="C469"/>
  <c r="E469"/>
  <c r="F469"/>
  <c r="A470"/>
  <c r="B470"/>
  <c r="C470"/>
  <c r="E470"/>
  <c r="F470"/>
  <c r="A471"/>
  <c r="B471"/>
  <c r="C471"/>
  <c r="E471"/>
  <c r="F471"/>
  <c r="A472"/>
  <c r="B472"/>
  <c r="C472"/>
  <c r="E472"/>
  <c r="F472"/>
  <c r="A473"/>
  <c r="B473"/>
  <c r="C473"/>
  <c r="E473"/>
  <c r="F473"/>
  <c r="A474"/>
  <c r="B474"/>
  <c r="C474"/>
  <c r="E474"/>
  <c r="F474"/>
  <c r="A475"/>
  <c r="B475"/>
  <c r="C475"/>
  <c r="E475"/>
  <c r="F475"/>
  <c r="A476"/>
  <c r="B476"/>
  <c r="C476"/>
  <c r="E476"/>
  <c r="F476"/>
  <c r="A477"/>
  <c r="B477"/>
  <c r="C477"/>
  <c r="E477"/>
  <c r="F477"/>
  <c r="A478"/>
  <c r="B478"/>
  <c r="C478"/>
  <c r="E478"/>
  <c r="F478"/>
  <c r="A479"/>
  <c r="B479"/>
  <c r="C479"/>
  <c r="E479"/>
  <c r="F479"/>
  <c r="A480"/>
  <c r="B480"/>
  <c r="C480"/>
  <c r="E480"/>
  <c r="F480"/>
  <c r="A481"/>
  <c r="B481"/>
  <c r="C481"/>
  <c r="E481"/>
  <c r="F481"/>
  <c r="A482"/>
  <c r="B482"/>
  <c r="C482"/>
  <c r="E482"/>
  <c r="F482"/>
  <c r="A483"/>
  <c r="B483"/>
  <c r="C483"/>
  <c r="E483"/>
  <c r="F483"/>
  <c r="A484"/>
  <c r="B484"/>
  <c r="C484"/>
  <c r="E484"/>
  <c r="F484"/>
  <c r="A485"/>
  <c r="B485"/>
  <c r="C485"/>
  <c r="E485"/>
  <c r="F485"/>
  <c r="A486"/>
  <c r="B486"/>
  <c r="C486"/>
  <c r="E486"/>
  <c r="F486"/>
  <c r="A487"/>
  <c r="B487"/>
  <c r="C487"/>
  <c r="E487"/>
  <c r="F487"/>
  <c r="A488"/>
  <c r="B488"/>
  <c r="C488"/>
  <c r="E488"/>
  <c r="F488"/>
  <c r="A489"/>
  <c r="B489"/>
  <c r="C489"/>
  <c r="E489"/>
  <c r="F489"/>
  <c r="A490"/>
  <c r="B490"/>
  <c r="C490"/>
  <c r="E490"/>
  <c r="F490"/>
  <c r="A491"/>
  <c r="B491"/>
  <c r="C491"/>
  <c r="E491"/>
  <c r="F491"/>
  <c r="A492"/>
  <c r="B492"/>
  <c r="C492"/>
  <c r="E492"/>
  <c r="F492"/>
  <c r="A493"/>
  <c r="B493"/>
  <c r="C493"/>
  <c r="E493"/>
  <c r="F493"/>
  <c r="A494"/>
  <c r="B494"/>
  <c r="C494"/>
  <c r="E494"/>
  <c r="F494"/>
  <c r="A495"/>
  <c r="B495"/>
  <c r="C495"/>
  <c r="E495"/>
  <c r="F495"/>
  <c r="A496"/>
  <c r="B496"/>
  <c r="C496"/>
  <c r="E496"/>
  <c r="F496"/>
  <c r="A497"/>
  <c r="B497"/>
  <c r="C497"/>
  <c r="E497"/>
  <c r="F497"/>
  <c r="A498"/>
  <c r="B498"/>
  <c r="C498"/>
  <c r="E498"/>
  <c r="F498"/>
  <c r="A499"/>
  <c r="B499"/>
  <c r="C499"/>
  <c r="E499"/>
  <c r="F499"/>
  <c r="A500"/>
  <c r="B500"/>
  <c r="C500"/>
  <c r="E500"/>
  <c r="F500"/>
  <c r="A501"/>
  <c r="B501"/>
  <c r="C501"/>
  <c r="E501"/>
  <c r="F501"/>
  <c r="A502"/>
  <c r="B502"/>
  <c r="C502"/>
  <c r="E502"/>
  <c r="F502"/>
  <c r="A503"/>
  <c r="B503"/>
  <c r="C503"/>
  <c r="E503"/>
  <c r="F503"/>
  <c r="A504"/>
  <c r="B504"/>
  <c r="C504"/>
  <c r="E504"/>
  <c r="F504"/>
  <c r="A505"/>
  <c r="B505"/>
  <c r="C505"/>
  <c r="E505"/>
  <c r="F505"/>
  <c r="A506"/>
  <c r="B506"/>
  <c r="C506"/>
  <c r="E506"/>
  <c r="F506"/>
  <c r="A507"/>
  <c r="B507"/>
  <c r="C507"/>
  <c r="E507"/>
  <c r="F507"/>
  <c r="A508"/>
  <c r="B508"/>
  <c r="C508"/>
  <c r="E508"/>
  <c r="F508"/>
  <c r="A509"/>
  <c r="B509"/>
  <c r="C509"/>
  <c r="E509"/>
  <c r="F509"/>
  <c r="A510"/>
  <c r="B510"/>
  <c r="C510"/>
  <c r="E510"/>
  <c r="F510"/>
  <c r="A511"/>
  <c r="B511"/>
  <c r="C511"/>
  <c r="E511"/>
  <c r="F511"/>
  <c r="A512"/>
  <c r="B512"/>
  <c r="C512"/>
  <c r="E512"/>
  <c r="F512"/>
  <c r="A513"/>
  <c r="B513"/>
  <c r="C513"/>
  <c r="E513"/>
  <c r="F513"/>
  <c r="A514"/>
  <c r="B514"/>
  <c r="C514"/>
  <c r="E514"/>
  <c r="F514"/>
  <c r="A515"/>
  <c r="B515"/>
  <c r="C515"/>
  <c r="E515"/>
  <c r="F515"/>
  <c r="A516"/>
  <c r="B516"/>
  <c r="C516"/>
  <c r="E516"/>
  <c r="F516"/>
  <c r="A517"/>
  <c r="B517"/>
  <c r="C517"/>
  <c r="E517"/>
  <c r="F517"/>
  <c r="A518"/>
  <c r="B518"/>
  <c r="C518"/>
  <c r="E518"/>
  <c r="F518"/>
  <c r="A519"/>
  <c r="B519"/>
  <c r="C519"/>
  <c r="E519"/>
  <c r="F519"/>
  <c r="A520"/>
  <c r="B520"/>
  <c r="C520"/>
  <c r="E520"/>
  <c r="F520"/>
  <c r="A521"/>
  <c r="B521"/>
  <c r="C521"/>
  <c r="E521"/>
  <c r="F521"/>
  <c r="A522"/>
  <c r="B522"/>
  <c r="C522"/>
  <c r="E522"/>
  <c r="F522"/>
  <c r="A523"/>
  <c r="B523"/>
  <c r="C523"/>
  <c r="E523"/>
  <c r="F523"/>
  <c r="A524"/>
  <c r="B524"/>
  <c r="C524"/>
  <c r="E524"/>
  <c r="F524"/>
  <c r="A525"/>
  <c r="B525"/>
  <c r="C525"/>
  <c r="E525"/>
  <c r="F525"/>
  <c r="A526"/>
  <c r="B526"/>
  <c r="C526"/>
  <c r="E526"/>
  <c r="F526"/>
  <c r="A527"/>
  <c r="B527"/>
  <c r="C527"/>
  <c r="E527"/>
  <c r="F527"/>
  <c r="A528"/>
  <c r="B528"/>
  <c r="C528"/>
  <c r="E528"/>
  <c r="F528"/>
  <c r="A529"/>
  <c r="B529"/>
  <c r="C529"/>
  <c r="E529"/>
  <c r="F529"/>
  <c r="A530"/>
  <c r="B530"/>
  <c r="C530"/>
  <c r="E530"/>
  <c r="F530"/>
  <c r="A531"/>
  <c r="B531"/>
  <c r="C531"/>
  <c r="E531"/>
  <c r="F531"/>
  <c r="A532"/>
  <c r="B532"/>
  <c r="C532"/>
  <c r="E532"/>
  <c r="F532"/>
  <c r="A533"/>
  <c r="B533"/>
  <c r="C533"/>
  <c r="E533"/>
  <c r="F533"/>
  <c r="A534"/>
  <c r="B534"/>
  <c r="C534"/>
  <c r="E534"/>
  <c r="F534"/>
  <c r="A535"/>
  <c r="B535"/>
  <c r="C535"/>
  <c r="E535"/>
  <c r="F535"/>
  <c r="A536"/>
  <c r="B536"/>
  <c r="C536"/>
  <c r="E536"/>
  <c r="F536"/>
  <c r="A537"/>
  <c r="B537"/>
  <c r="C537"/>
  <c r="E537"/>
  <c r="F537"/>
  <c r="A538"/>
  <c r="B538"/>
  <c r="C538"/>
  <c r="E538"/>
  <c r="F538"/>
  <c r="A539"/>
  <c r="B539"/>
  <c r="C539"/>
  <c r="E539"/>
  <c r="F539"/>
  <c r="A540"/>
  <c r="B540"/>
  <c r="C540"/>
  <c r="E540"/>
  <c r="F540"/>
  <c r="A541"/>
  <c r="B541"/>
  <c r="C541"/>
  <c r="E541"/>
  <c r="F541"/>
  <c r="A542"/>
  <c r="B542"/>
  <c r="C542"/>
  <c r="E542"/>
  <c r="F542"/>
  <c r="A543"/>
  <c r="B543"/>
  <c r="C543"/>
  <c r="E543"/>
  <c r="F543"/>
  <c r="A544"/>
  <c r="B544"/>
  <c r="C544"/>
  <c r="E544"/>
  <c r="F544"/>
  <c r="A545"/>
  <c r="B545"/>
  <c r="C545"/>
  <c r="E545"/>
  <c r="F545"/>
  <c r="A546"/>
  <c r="B546"/>
  <c r="C546"/>
  <c r="E546"/>
  <c r="F546"/>
  <c r="A547"/>
  <c r="B547"/>
  <c r="C547"/>
  <c r="E547"/>
  <c r="F547"/>
  <c r="A548"/>
  <c r="B548"/>
  <c r="C548"/>
  <c r="E548"/>
  <c r="F548"/>
  <c r="A549"/>
  <c r="B549"/>
  <c r="C549"/>
  <c r="E549"/>
  <c r="F549"/>
  <c r="A550"/>
  <c r="B550"/>
  <c r="C550"/>
  <c r="E550"/>
  <c r="F550"/>
  <c r="A551"/>
  <c r="B551"/>
  <c r="C551"/>
  <c r="E551"/>
  <c r="F551"/>
  <c r="A552"/>
  <c r="B552"/>
  <c r="C552"/>
  <c r="E552"/>
  <c r="F552"/>
  <c r="A553"/>
  <c r="B553"/>
  <c r="C553"/>
  <c r="E553"/>
  <c r="F553"/>
  <c r="A554"/>
  <c r="B554"/>
  <c r="C554"/>
  <c r="E554"/>
  <c r="F554"/>
  <c r="A555"/>
  <c r="B555"/>
  <c r="C555"/>
  <c r="E555"/>
  <c r="F555"/>
  <c r="A556"/>
  <c r="B556"/>
  <c r="C556"/>
  <c r="E556"/>
  <c r="F556"/>
  <c r="A557"/>
  <c r="B557"/>
  <c r="C557"/>
  <c r="E557"/>
  <c r="F557"/>
  <c r="A558"/>
  <c r="B558"/>
  <c r="C558"/>
  <c r="E558"/>
  <c r="F558"/>
  <c r="A559"/>
  <c r="B559"/>
  <c r="C559"/>
  <c r="E559"/>
  <c r="F559"/>
  <c r="A560"/>
  <c r="B560"/>
  <c r="C560"/>
  <c r="E560"/>
  <c r="F560"/>
  <c r="A561"/>
  <c r="B561"/>
  <c r="C561"/>
  <c r="E561"/>
  <c r="F561"/>
  <c r="A562"/>
  <c r="B562"/>
  <c r="C562"/>
  <c r="E562"/>
  <c r="F562"/>
  <c r="A563"/>
  <c r="B563"/>
  <c r="C563"/>
  <c r="E563"/>
  <c r="F563"/>
  <c r="A564"/>
  <c r="B564"/>
  <c r="C564"/>
  <c r="E564"/>
  <c r="F564"/>
  <c r="A565"/>
  <c r="B565"/>
  <c r="C565"/>
  <c r="E565"/>
  <c r="F565"/>
  <c r="A566"/>
  <c r="B566"/>
  <c r="C566"/>
  <c r="E566"/>
  <c r="F566"/>
  <c r="A567"/>
  <c r="B567"/>
  <c r="C567"/>
  <c r="E567"/>
  <c r="F567"/>
  <c r="A568"/>
  <c r="B568"/>
  <c r="C568"/>
  <c r="E568"/>
  <c r="F568"/>
  <c r="A569"/>
  <c r="B569"/>
  <c r="C569"/>
  <c r="E569"/>
  <c r="F569"/>
  <c r="A570"/>
  <c r="B570"/>
  <c r="C570"/>
  <c r="E570"/>
  <c r="F570"/>
  <c r="A571"/>
  <c r="B571"/>
  <c r="C571"/>
  <c r="E571"/>
  <c r="F571"/>
  <c r="A572"/>
  <c r="B572"/>
  <c r="C572"/>
  <c r="E572"/>
  <c r="F572"/>
  <c r="A573"/>
  <c r="B573"/>
  <c r="C573"/>
  <c r="E573"/>
  <c r="F573"/>
  <c r="A574"/>
  <c r="B574"/>
  <c r="C574"/>
  <c r="E574"/>
  <c r="F574"/>
  <c r="A575"/>
  <c r="B575"/>
  <c r="C575"/>
  <c r="E575"/>
  <c r="F575"/>
  <c r="A576"/>
  <c r="B576"/>
  <c r="C576"/>
  <c r="E576"/>
  <c r="F576"/>
  <c r="A577"/>
  <c r="B577"/>
  <c r="C577"/>
  <c r="E577"/>
  <c r="F577"/>
  <c r="A578"/>
  <c r="B578"/>
  <c r="C578"/>
  <c r="E578"/>
  <c r="F578"/>
  <c r="A579"/>
  <c r="B579"/>
  <c r="C579"/>
  <c r="E579"/>
  <c r="F579"/>
  <c r="A580"/>
  <c r="B580"/>
  <c r="C580"/>
  <c r="E580"/>
  <c r="F580"/>
  <c r="A581"/>
  <c r="B581"/>
  <c r="C581"/>
  <c r="E581"/>
  <c r="F581"/>
  <c r="A582"/>
  <c r="B582"/>
  <c r="C582"/>
  <c r="E582"/>
  <c r="F582"/>
  <c r="A583"/>
  <c r="B583"/>
  <c r="C583"/>
  <c r="E583"/>
  <c r="F583"/>
  <c r="A584"/>
  <c r="B584"/>
  <c r="C584"/>
  <c r="E584"/>
  <c r="F584"/>
  <c r="A585"/>
  <c r="B585"/>
  <c r="C585"/>
  <c r="E585"/>
  <c r="F585"/>
  <c r="A586"/>
  <c r="B586"/>
  <c r="C586"/>
  <c r="E586"/>
  <c r="F586"/>
  <c r="A587"/>
  <c r="B587"/>
  <c r="C587"/>
  <c r="E587"/>
  <c r="F587"/>
  <c r="A588"/>
  <c r="B588"/>
  <c r="C588"/>
  <c r="E588"/>
  <c r="F588"/>
  <c r="A589"/>
  <c r="B589"/>
  <c r="C589"/>
  <c r="E589"/>
  <c r="F589"/>
  <c r="A590"/>
  <c r="B590"/>
  <c r="C590"/>
  <c r="E590"/>
  <c r="F590"/>
  <c r="A591"/>
  <c r="B591"/>
  <c r="C591"/>
  <c r="E591"/>
  <c r="F591"/>
  <c r="A592"/>
  <c r="B592"/>
  <c r="C592"/>
  <c r="E592"/>
  <c r="F592"/>
  <c r="A593"/>
  <c r="B593"/>
  <c r="C593"/>
  <c r="E593"/>
  <c r="F593"/>
  <c r="A594"/>
  <c r="B594"/>
  <c r="C594"/>
  <c r="E594"/>
  <c r="F594"/>
  <c r="A595"/>
  <c r="B595"/>
  <c r="C595"/>
  <c r="E595"/>
  <c r="F595"/>
  <c r="A596"/>
  <c r="B596"/>
  <c r="C596"/>
  <c r="E596"/>
  <c r="F596"/>
  <c r="A597"/>
  <c r="B597"/>
  <c r="C597"/>
  <c r="E597"/>
  <c r="F597"/>
  <c r="A598"/>
  <c r="B598"/>
  <c r="C598"/>
  <c r="E598"/>
  <c r="F598"/>
  <c r="A599"/>
  <c r="B599"/>
  <c r="C599"/>
  <c r="E599"/>
  <c r="F599"/>
  <c r="A600"/>
  <c r="B600"/>
  <c r="C600"/>
  <c r="E600"/>
  <c r="F600"/>
  <c r="A601"/>
  <c r="B601"/>
  <c r="C601"/>
  <c r="E601"/>
  <c r="F601"/>
  <c r="A602"/>
  <c r="B602"/>
  <c r="C602"/>
  <c r="E602"/>
  <c r="F602"/>
  <c r="A603"/>
  <c r="B603"/>
  <c r="C603"/>
  <c r="E603"/>
  <c r="F603"/>
  <c r="A604"/>
  <c r="B604"/>
  <c r="C604"/>
  <c r="E604"/>
  <c r="F604"/>
  <c r="A605"/>
  <c r="B605"/>
  <c r="C605"/>
  <c r="E605"/>
  <c r="F605"/>
  <c r="A606"/>
  <c r="B606"/>
  <c r="C606"/>
  <c r="E606"/>
  <c r="F606"/>
  <c r="A607"/>
  <c r="B607"/>
  <c r="C607"/>
  <c r="E607"/>
  <c r="F607"/>
  <c r="A608"/>
  <c r="B608"/>
  <c r="C608"/>
  <c r="E608"/>
  <c r="F608"/>
  <c r="A609"/>
  <c r="B609"/>
  <c r="C609"/>
  <c r="E609"/>
  <c r="F609"/>
  <c r="A610"/>
  <c r="B610"/>
  <c r="C610"/>
  <c r="E610"/>
  <c r="F610"/>
  <c r="A611"/>
  <c r="B611"/>
  <c r="C611"/>
  <c r="E611"/>
  <c r="F611"/>
  <c r="A612"/>
  <c r="B612"/>
  <c r="C612"/>
  <c r="E612"/>
  <c r="F612"/>
  <c r="A613"/>
  <c r="B613"/>
  <c r="C613"/>
  <c r="E613"/>
  <c r="F613"/>
  <c r="A614"/>
  <c r="B614"/>
  <c r="C614"/>
  <c r="E614"/>
  <c r="F614"/>
  <c r="A615"/>
  <c r="B615"/>
  <c r="C615"/>
  <c r="E615"/>
  <c r="F615"/>
  <c r="A616"/>
  <c r="B616"/>
  <c r="C616"/>
  <c r="E616"/>
  <c r="F616"/>
  <c r="A617"/>
  <c r="B617"/>
  <c r="C617"/>
  <c r="E617"/>
  <c r="F617"/>
  <c r="A618"/>
  <c r="B618"/>
  <c r="C618"/>
  <c r="E618"/>
  <c r="F618"/>
  <c r="A619"/>
  <c r="B619"/>
  <c r="C619"/>
  <c r="E619"/>
  <c r="F619"/>
  <c r="A620"/>
  <c r="B620"/>
  <c r="C620"/>
  <c r="E620"/>
  <c r="F620"/>
  <c r="A621"/>
  <c r="B621"/>
  <c r="C621"/>
  <c r="E621"/>
  <c r="F621"/>
  <c r="A622"/>
  <c r="B622"/>
  <c r="C622"/>
  <c r="E622"/>
  <c r="F622"/>
  <c r="A623"/>
  <c r="B623"/>
  <c r="C623"/>
  <c r="E623"/>
  <c r="F623"/>
  <c r="A624"/>
  <c r="B624"/>
  <c r="C624"/>
  <c r="E624"/>
  <c r="F624"/>
  <c r="A625"/>
  <c r="B625"/>
  <c r="C625"/>
  <c r="E625"/>
  <c r="F625"/>
  <c r="A626"/>
  <c r="B626"/>
  <c r="C626"/>
  <c r="E626"/>
  <c r="F626"/>
  <c r="A627"/>
  <c r="B627"/>
  <c r="C627"/>
  <c r="E627"/>
  <c r="F627"/>
  <c r="A628"/>
  <c r="B628"/>
  <c r="C628"/>
  <c r="E628"/>
  <c r="F628"/>
  <c r="A629"/>
  <c r="B629"/>
  <c r="C629"/>
  <c r="E629"/>
  <c r="F629"/>
  <c r="A630"/>
  <c r="B630"/>
  <c r="C630"/>
  <c r="E630"/>
  <c r="F630"/>
  <c r="A631"/>
  <c r="B631"/>
  <c r="C631"/>
  <c r="E631"/>
  <c r="F631"/>
  <c r="A632"/>
  <c r="B632"/>
  <c r="C632"/>
  <c r="E632"/>
  <c r="F632"/>
  <c r="A633"/>
  <c r="B633"/>
  <c r="C633"/>
  <c r="E633"/>
  <c r="F633"/>
  <c r="A634"/>
  <c r="B634"/>
  <c r="C634"/>
  <c r="E634"/>
  <c r="F634"/>
  <c r="A635"/>
  <c r="B635"/>
  <c r="C635"/>
  <c r="E635"/>
  <c r="F635"/>
  <c r="A636"/>
  <c r="B636"/>
  <c r="C636"/>
  <c r="E636"/>
  <c r="F636"/>
  <c r="A637"/>
  <c r="B637"/>
  <c r="C637"/>
  <c r="E637"/>
  <c r="F637"/>
  <c r="A638"/>
  <c r="B638"/>
  <c r="C638"/>
  <c r="E638"/>
  <c r="F638"/>
  <c r="A639"/>
  <c r="B639"/>
  <c r="C639"/>
  <c r="E639"/>
  <c r="F639"/>
  <c r="A640"/>
  <c r="B640"/>
  <c r="C640"/>
  <c r="E640"/>
  <c r="F640"/>
  <c r="A641"/>
  <c r="B641"/>
  <c r="C641"/>
  <c r="E641"/>
  <c r="F641"/>
  <c r="A642"/>
  <c r="B642"/>
  <c r="C642"/>
  <c r="E642"/>
  <c r="F642"/>
  <c r="A643"/>
  <c r="B643"/>
  <c r="C643"/>
  <c r="E643"/>
  <c r="F643"/>
  <c r="A644"/>
  <c r="B644"/>
  <c r="C644"/>
  <c r="E644"/>
  <c r="F644"/>
  <c r="A645"/>
  <c r="B645"/>
  <c r="C645"/>
  <c r="E645"/>
  <c r="F645"/>
  <c r="A646"/>
  <c r="B646"/>
  <c r="C646"/>
  <c r="E646"/>
  <c r="F646"/>
  <c r="A647"/>
  <c r="B647"/>
  <c r="C647"/>
  <c r="E647"/>
  <c r="F647"/>
  <c r="A648"/>
  <c r="B648"/>
  <c r="C648"/>
  <c r="E648"/>
  <c r="F648"/>
  <c r="A649"/>
  <c r="B649"/>
  <c r="C649"/>
  <c r="E649"/>
  <c r="F649"/>
  <c r="A650"/>
  <c r="B650"/>
  <c r="C650"/>
  <c r="E650"/>
  <c r="F650"/>
  <c r="A651"/>
  <c r="B651"/>
  <c r="C651"/>
  <c r="E651"/>
  <c r="F651"/>
  <c r="A652"/>
  <c r="B652"/>
  <c r="C652"/>
  <c r="E652"/>
  <c r="F652"/>
  <c r="A653"/>
  <c r="B653"/>
  <c r="C653"/>
  <c r="E653"/>
  <c r="F653"/>
  <c r="A654"/>
  <c r="B654"/>
  <c r="C654"/>
  <c r="E654"/>
  <c r="F654"/>
  <c r="A655"/>
  <c r="B655"/>
  <c r="C655"/>
  <c r="E655"/>
  <c r="F655"/>
  <c r="A656"/>
  <c r="B656"/>
  <c r="C656"/>
  <c r="E656"/>
  <c r="F656"/>
  <c r="A657"/>
  <c r="B657"/>
  <c r="C657"/>
  <c r="E657"/>
  <c r="F657"/>
  <c r="A658"/>
  <c r="B658"/>
  <c r="C658"/>
  <c r="E658"/>
  <c r="F658"/>
  <c r="A659"/>
  <c r="B659"/>
  <c r="C659"/>
  <c r="E659"/>
  <c r="F659"/>
  <c r="A660"/>
  <c r="B660"/>
  <c r="C660"/>
  <c r="E660"/>
  <c r="F660"/>
  <c r="A661"/>
  <c r="B661"/>
  <c r="C661"/>
  <c r="E661"/>
  <c r="F661"/>
  <c r="A662"/>
  <c r="B662"/>
  <c r="C662"/>
  <c r="E662"/>
  <c r="F662"/>
  <c r="A663"/>
  <c r="B663"/>
  <c r="C663"/>
  <c r="E663"/>
  <c r="F663"/>
  <c r="A664"/>
  <c r="B664"/>
  <c r="C664"/>
  <c r="E664"/>
  <c r="F664"/>
  <c r="A665"/>
  <c r="B665"/>
  <c r="C665"/>
  <c r="E665"/>
  <c r="F665"/>
  <c r="A666"/>
  <c r="B666"/>
  <c r="C666"/>
  <c r="E666"/>
  <c r="F666"/>
  <c r="A667"/>
  <c r="B667"/>
  <c r="C667"/>
  <c r="E667"/>
  <c r="F667"/>
  <c r="A668"/>
  <c r="B668"/>
  <c r="C668"/>
  <c r="E668"/>
  <c r="F668"/>
  <c r="A669"/>
  <c r="B669"/>
  <c r="C669"/>
  <c r="E669"/>
  <c r="F669"/>
  <c r="A670"/>
  <c r="B670"/>
  <c r="C670"/>
  <c r="E670"/>
  <c r="F670"/>
  <c r="A671"/>
  <c r="B671"/>
  <c r="C671"/>
  <c r="E671"/>
  <c r="F671"/>
  <c r="A672"/>
  <c r="B672"/>
  <c r="C672"/>
  <c r="E672"/>
  <c r="F672"/>
  <c r="A673"/>
  <c r="B673"/>
  <c r="C673"/>
  <c r="E673"/>
  <c r="F673"/>
  <c r="A674"/>
  <c r="B674"/>
  <c r="C674"/>
  <c r="E674"/>
  <c r="F674"/>
  <c r="A675"/>
  <c r="B675"/>
  <c r="C675"/>
  <c r="E675"/>
  <c r="F675"/>
  <c r="A676"/>
  <c r="B676"/>
  <c r="C676"/>
  <c r="E676"/>
  <c r="F676"/>
  <c r="A677"/>
  <c r="B677"/>
  <c r="C677"/>
  <c r="E677"/>
  <c r="F677"/>
  <c r="A678"/>
  <c r="B678"/>
  <c r="C678"/>
  <c r="E678"/>
  <c r="F678"/>
  <c r="A679"/>
  <c r="B679"/>
  <c r="C679"/>
  <c r="E679"/>
  <c r="F679"/>
  <c r="A680"/>
  <c r="B680"/>
  <c r="C680"/>
  <c r="E680"/>
  <c r="F680"/>
  <c r="A681"/>
  <c r="B681"/>
  <c r="C681"/>
  <c r="E681"/>
  <c r="F681"/>
  <c r="A682"/>
  <c r="B682"/>
  <c r="C682"/>
  <c r="E682"/>
  <c r="F682"/>
  <c r="A683"/>
  <c r="B683"/>
  <c r="C683"/>
  <c r="E683"/>
  <c r="F683"/>
  <c r="A684"/>
  <c r="B684"/>
  <c r="C684"/>
  <c r="E684"/>
  <c r="F684"/>
  <c r="A685"/>
  <c r="B685"/>
  <c r="C685"/>
  <c r="E685"/>
  <c r="F685"/>
  <c r="A686"/>
  <c r="B686"/>
  <c r="C686"/>
  <c r="E686"/>
  <c r="F686"/>
  <c r="A687"/>
  <c r="B687"/>
  <c r="C687"/>
  <c r="E687"/>
  <c r="F687"/>
  <c r="A688"/>
  <c r="B688"/>
  <c r="C688"/>
  <c r="E688"/>
  <c r="F688"/>
  <c r="A689"/>
  <c r="B689"/>
  <c r="C689"/>
  <c r="E689"/>
  <c r="F689"/>
  <c r="A690"/>
  <c r="B690"/>
  <c r="C690"/>
  <c r="E690"/>
  <c r="F690"/>
  <c r="A691"/>
  <c r="B691"/>
  <c r="C691"/>
  <c r="E691"/>
  <c r="F691"/>
  <c r="A692"/>
  <c r="B692"/>
  <c r="C692"/>
  <c r="E692"/>
  <c r="F692"/>
  <c r="A693"/>
  <c r="B693"/>
  <c r="C693"/>
  <c r="E693"/>
  <c r="F693"/>
  <c r="A694"/>
  <c r="B694"/>
  <c r="C694"/>
  <c r="E694"/>
  <c r="F694"/>
  <c r="A695"/>
  <c r="B695"/>
  <c r="C695"/>
  <c r="E695"/>
  <c r="F695"/>
  <c r="A696"/>
  <c r="B696"/>
  <c r="C696"/>
  <c r="E696"/>
  <c r="F696"/>
  <c r="A697"/>
  <c r="B697"/>
  <c r="C697"/>
  <c r="E697"/>
  <c r="F697"/>
  <c r="A698"/>
  <c r="B698"/>
  <c r="C698"/>
  <c r="E698"/>
  <c r="F698"/>
  <c r="A699"/>
  <c r="B699"/>
  <c r="C699"/>
  <c r="E699"/>
  <c r="F699"/>
  <c r="A700"/>
  <c r="B700"/>
  <c r="C700"/>
  <c r="E700"/>
  <c r="F700"/>
  <c r="A701"/>
  <c r="B701"/>
  <c r="C701"/>
  <c r="E701"/>
  <c r="F701"/>
  <c r="A702"/>
  <c r="B702"/>
  <c r="C702"/>
  <c r="E702"/>
  <c r="F702"/>
  <c r="A703"/>
  <c r="B703"/>
  <c r="C703"/>
  <c r="E703"/>
  <c r="F703"/>
  <c r="A704"/>
  <c r="B704"/>
  <c r="C704"/>
  <c r="E704"/>
  <c r="F704"/>
  <c r="A705"/>
  <c r="B705"/>
  <c r="C705"/>
  <c r="E705"/>
  <c r="F705"/>
  <c r="A706"/>
  <c r="B706"/>
  <c r="C706"/>
  <c r="E706"/>
  <c r="F706"/>
  <c r="A707"/>
  <c r="B707"/>
  <c r="C707"/>
  <c r="E707"/>
  <c r="F707"/>
  <c r="A708"/>
  <c r="B708"/>
  <c r="C708"/>
  <c r="E708"/>
  <c r="F708"/>
  <c r="A709"/>
  <c r="B709"/>
  <c r="C709"/>
  <c r="E709"/>
  <c r="F709"/>
  <c r="A710"/>
  <c r="B710"/>
  <c r="C710"/>
  <c r="E710"/>
  <c r="F710"/>
  <c r="A711"/>
  <c r="B711"/>
  <c r="C711"/>
  <c r="E711"/>
  <c r="F711"/>
  <c r="A712"/>
  <c r="B712"/>
  <c r="C712"/>
  <c r="E712"/>
  <c r="F712"/>
  <c r="A713"/>
  <c r="B713"/>
  <c r="C713"/>
  <c r="E713"/>
  <c r="F713"/>
  <c r="A714"/>
  <c r="B714"/>
  <c r="C714"/>
  <c r="E714"/>
  <c r="F714"/>
  <c r="A715"/>
  <c r="B715"/>
  <c r="C715"/>
  <c r="E715"/>
  <c r="F715"/>
  <c r="A716"/>
  <c r="B716"/>
  <c r="C716"/>
  <c r="E716"/>
  <c r="F716"/>
  <c r="A717"/>
  <c r="B717"/>
  <c r="C717"/>
  <c r="E717"/>
  <c r="F717"/>
  <c r="A718"/>
  <c r="B718"/>
  <c r="C718"/>
  <c r="E718"/>
  <c r="F718"/>
  <c r="A719"/>
  <c r="B719"/>
  <c r="C719"/>
  <c r="E719"/>
  <c r="F719"/>
  <c r="A720"/>
  <c r="B720"/>
  <c r="C720"/>
  <c r="E720"/>
  <c r="F720"/>
  <c r="A721"/>
  <c r="B721"/>
  <c r="C721"/>
  <c r="E721"/>
  <c r="F721"/>
  <c r="A722"/>
  <c r="B722"/>
  <c r="C722"/>
  <c r="E722"/>
  <c r="F722"/>
  <c r="A723"/>
  <c r="B723"/>
  <c r="C723"/>
  <c r="E723"/>
  <c r="F723"/>
  <c r="A724"/>
  <c r="B724"/>
  <c r="C724"/>
  <c r="E724"/>
  <c r="F724"/>
  <c r="A725"/>
  <c r="B725"/>
  <c r="C725"/>
  <c r="E725"/>
  <c r="F725"/>
  <c r="A726"/>
  <c r="B726"/>
  <c r="C726"/>
  <c r="E726"/>
  <c r="F726"/>
  <c r="A727"/>
  <c r="B727"/>
  <c r="C727"/>
  <c r="E727"/>
  <c r="F727"/>
  <c r="A728"/>
  <c r="B728"/>
  <c r="C728"/>
  <c r="E728"/>
  <c r="F728"/>
  <c r="A729"/>
  <c r="B729"/>
  <c r="C729"/>
  <c r="E729"/>
  <c r="F729"/>
  <c r="A730"/>
  <c r="B730"/>
  <c r="C730"/>
  <c r="E730"/>
  <c r="F730"/>
  <c r="A731"/>
  <c r="B731"/>
  <c r="C731"/>
  <c r="E731"/>
  <c r="F731"/>
</calcChain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0"/>
  <sheetViews>
    <sheetView tabSelected="1" workbookViewId="0">
      <selection activeCell="B6" sqref="B6"/>
    </sheetView>
  </sheetViews>
  <sheetFormatPr defaultRowHeight="12.75"/>
  <cols>
    <col min="1" max="1" width="19.5703125" bestFit="1" customWidth="1"/>
    <col min="2" max="2" width="41" bestFit="1" customWidth="1"/>
    <col min="5" max="5" width="10" bestFit="1" customWidth="1"/>
  </cols>
  <sheetData>
    <row r="1" spans="1:6">
      <c r="A1" s="1" t="str">
        <f>"codice identificativo"</f>
        <v>codice identificativo</v>
      </c>
      <c r="B1" s="1" t="str">
        <f>"Indirizzo/Località"</f>
        <v>Indirizzo/Località</v>
      </c>
      <c r="C1" s="1" t="str">
        <f>"SEZIONE"</f>
        <v>SEZIONE</v>
      </c>
      <c r="D1" s="1" t="str">
        <f>"FOGLIO"</f>
        <v>FOGLIO</v>
      </c>
      <c r="E1" s="1" t="str">
        <f>"MAPPALE"</f>
        <v>MAPPALE</v>
      </c>
      <c r="F1" s="1" t="str">
        <f>"SUB"</f>
        <v>SUB</v>
      </c>
    </row>
    <row r="2" spans="1:6">
      <c r="A2" t="str">
        <f>"T23-1"</f>
        <v>T23-1</v>
      </c>
      <c r="B2" t="str">
        <f t="shared" ref="B2:B13" si="0">"VIA VESUVIO VICINO AL 16-"</f>
        <v>VIA VESUVIO VICINO AL 16-</v>
      </c>
      <c r="C2" t="str">
        <f t="shared" ref="C2:C33" si="1">"1"</f>
        <v>1</v>
      </c>
      <c r="D2">
        <v>6</v>
      </c>
      <c r="E2" t="str">
        <f>"582"</f>
        <v>582</v>
      </c>
      <c r="F2" t="str">
        <f t="shared" ref="F2:F33" si="2">"0000"</f>
        <v>0000</v>
      </c>
    </row>
    <row r="3" spans="1:6">
      <c r="A3" t="str">
        <f>"T23-2"</f>
        <v>T23-2</v>
      </c>
      <c r="B3" t="str">
        <f t="shared" si="0"/>
        <v>VIA VESUVIO VICINO AL 16-</v>
      </c>
      <c r="C3" t="str">
        <f t="shared" si="1"/>
        <v>1</v>
      </c>
      <c r="D3">
        <v>6</v>
      </c>
      <c r="E3" t="str">
        <f>"580"</f>
        <v>580</v>
      </c>
      <c r="F3" t="str">
        <f t="shared" si="2"/>
        <v>0000</v>
      </c>
    </row>
    <row r="4" spans="1:6">
      <c r="A4" t="str">
        <f>"T23-3"</f>
        <v>T23-3</v>
      </c>
      <c r="B4" t="str">
        <f t="shared" si="0"/>
        <v>VIA VESUVIO VICINO AL 16-</v>
      </c>
      <c r="C4" t="str">
        <f t="shared" si="1"/>
        <v>1</v>
      </c>
      <c r="D4">
        <v>6</v>
      </c>
      <c r="E4" t="str">
        <f>"579"</f>
        <v>579</v>
      </c>
      <c r="F4" t="str">
        <f t="shared" si="2"/>
        <v>0000</v>
      </c>
    </row>
    <row r="5" spans="1:6">
      <c r="A5" t="str">
        <f>"T23-4"</f>
        <v>T23-4</v>
      </c>
      <c r="B5" t="str">
        <f t="shared" si="0"/>
        <v>VIA VESUVIO VICINO AL 16-</v>
      </c>
      <c r="C5" t="str">
        <f t="shared" si="1"/>
        <v>1</v>
      </c>
      <c r="D5">
        <v>6</v>
      </c>
      <c r="E5" t="str">
        <f>"587"</f>
        <v>587</v>
      </c>
      <c r="F5" t="str">
        <f t="shared" si="2"/>
        <v>0000</v>
      </c>
    </row>
    <row r="6" spans="1:6">
      <c r="A6" t="str">
        <f>"T23-5"</f>
        <v>T23-5</v>
      </c>
      <c r="B6" t="str">
        <f t="shared" si="0"/>
        <v>VIA VESUVIO VICINO AL 16-</v>
      </c>
      <c r="C6" t="str">
        <f t="shared" si="1"/>
        <v>1</v>
      </c>
      <c r="D6">
        <v>6</v>
      </c>
      <c r="E6" t="str">
        <f>"588"</f>
        <v>588</v>
      </c>
      <c r="F6" t="str">
        <f t="shared" si="2"/>
        <v>0000</v>
      </c>
    </row>
    <row r="7" spans="1:6">
      <c r="A7" t="str">
        <f>"T23-6"</f>
        <v>T23-6</v>
      </c>
      <c r="B7" t="str">
        <f t="shared" si="0"/>
        <v>VIA VESUVIO VICINO AL 16-</v>
      </c>
      <c r="C7" t="str">
        <f t="shared" si="1"/>
        <v>1</v>
      </c>
      <c r="D7">
        <v>6</v>
      </c>
      <c r="E7" t="str">
        <f>"329"</f>
        <v>329</v>
      </c>
      <c r="F7" t="str">
        <f t="shared" si="2"/>
        <v>0000</v>
      </c>
    </row>
    <row r="8" spans="1:6">
      <c r="A8" t="str">
        <f>"T23-7"</f>
        <v>T23-7</v>
      </c>
      <c r="B8" t="str">
        <f t="shared" si="0"/>
        <v>VIA VESUVIO VICINO AL 16-</v>
      </c>
      <c r="C8" t="str">
        <f t="shared" si="1"/>
        <v>1</v>
      </c>
      <c r="D8">
        <v>6</v>
      </c>
      <c r="E8" t="str">
        <f>"331"</f>
        <v>331</v>
      </c>
      <c r="F8" t="str">
        <f t="shared" si="2"/>
        <v>0000</v>
      </c>
    </row>
    <row r="9" spans="1:6">
      <c r="A9" t="str">
        <f>"T23-8"</f>
        <v>T23-8</v>
      </c>
      <c r="B9" t="str">
        <f t="shared" si="0"/>
        <v>VIA VESUVIO VICINO AL 16-</v>
      </c>
      <c r="C9" t="str">
        <f t="shared" si="1"/>
        <v>1</v>
      </c>
      <c r="D9">
        <v>6</v>
      </c>
      <c r="E9" t="str">
        <f>"316"</f>
        <v>316</v>
      </c>
      <c r="F9" t="str">
        <f t="shared" si="2"/>
        <v>0000</v>
      </c>
    </row>
    <row r="10" spans="1:6">
      <c r="A10" t="str">
        <f>"T23-9"</f>
        <v>T23-9</v>
      </c>
      <c r="B10" t="str">
        <f t="shared" si="0"/>
        <v>VIA VESUVIO VICINO AL 16-</v>
      </c>
      <c r="C10" t="str">
        <f t="shared" si="1"/>
        <v>1</v>
      </c>
      <c r="D10">
        <v>6</v>
      </c>
      <c r="E10" t="str">
        <f>"584"</f>
        <v>584</v>
      </c>
      <c r="F10" t="str">
        <f t="shared" si="2"/>
        <v>0000</v>
      </c>
    </row>
    <row r="11" spans="1:6">
      <c r="A11" t="str">
        <f>"T23-10"</f>
        <v>T23-10</v>
      </c>
      <c r="B11" t="str">
        <f t="shared" si="0"/>
        <v>VIA VESUVIO VICINO AL 16-</v>
      </c>
      <c r="C11" t="str">
        <f t="shared" si="1"/>
        <v>1</v>
      </c>
      <c r="D11">
        <v>6</v>
      </c>
      <c r="E11" t="str">
        <f>"578"</f>
        <v>578</v>
      </c>
      <c r="F11" t="str">
        <f t="shared" si="2"/>
        <v>0000</v>
      </c>
    </row>
    <row r="12" spans="1:6">
      <c r="A12" t="str">
        <f>"T23-11"</f>
        <v>T23-11</v>
      </c>
      <c r="B12" t="str">
        <f t="shared" si="0"/>
        <v>VIA VESUVIO VICINO AL 16-</v>
      </c>
      <c r="C12" t="str">
        <f t="shared" si="1"/>
        <v>1</v>
      </c>
      <c r="D12">
        <v>6</v>
      </c>
      <c r="E12" t="str">
        <f>"577"</f>
        <v>577</v>
      </c>
      <c r="F12" t="str">
        <f t="shared" si="2"/>
        <v>0000</v>
      </c>
    </row>
    <row r="13" spans="1:6">
      <c r="A13" t="str">
        <f>"T23-12"</f>
        <v>T23-12</v>
      </c>
      <c r="B13" t="str">
        <f t="shared" si="0"/>
        <v>VIA VESUVIO VICINO AL 16-</v>
      </c>
      <c r="C13" t="str">
        <f t="shared" si="1"/>
        <v>1</v>
      </c>
      <c r="D13">
        <v>6</v>
      </c>
      <c r="E13" t="str">
        <f>"586"</f>
        <v>586</v>
      </c>
      <c r="F13" t="str">
        <f t="shared" si="2"/>
        <v>0000</v>
      </c>
    </row>
    <row r="14" spans="1:6">
      <c r="A14" t="str">
        <f>"T24-1"</f>
        <v>T24-1</v>
      </c>
      <c r="B14" t="str">
        <f t="shared" ref="B14:B26" si="3">"VIA FRANCESCA S CABRINI VICINO AL 1-"</f>
        <v>VIA FRANCESCA S CABRINI VICINO AL 1-</v>
      </c>
      <c r="C14" t="str">
        <f t="shared" si="1"/>
        <v>1</v>
      </c>
      <c r="D14">
        <v>35</v>
      </c>
      <c r="E14" t="str">
        <f>"310"</f>
        <v>310</v>
      </c>
      <c r="F14" t="str">
        <f t="shared" si="2"/>
        <v>0000</v>
      </c>
    </row>
    <row r="15" spans="1:6">
      <c r="A15" t="str">
        <f>"T25-1"</f>
        <v>T25-1</v>
      </c>
      <c r="B15" t="str">
        <f t="shared" si="3"/>
        <v>VIA FRANCESCA S CABRINI VICINO AL 1-</v>
      </c>
      <c r="C15" t="str">
        <f t="shared" si="1"/>
        <v>1</v>
      </c>
      <c r="D15">
        <v>35</v>
      </c>
      <c r="E15" t="str">
        <f>"310"</f>
        <v>310</v>
      </c>
      <c r="F15" t="str">
        <f t="shared" si="2"/>
        <v>0000</v>
      </c>
    </row>
    <row r="16" spans="1:6">
      <c r="A16" t="str">
        <f>"T25-2"</f>
        <v>T25-2</v>
      </c>
      <c r="B16" t="str">
        <f t="shared" si="3"/>
        <v>VIA FRANCESCA S CABRINI VICINO AL 1-</v>
      </c>
      <c r="C16" t="str">
        <f t="shared" si="1"/>
        <v>1</v>
      </c>
      <c r="D16">
        <v>35</v>
      </c>
      <c r="E16" t="str">
        <f>"724"</f>
        <v>724</v>
      </c>
      <c r="F16" t="str">
        <f t="shared" si="2"/>
        <v>0000</v>
      </c>
    </row>
    <row r="17" spans="1:6">
      <c r="A17" t="str">
        <f>"T25-3"</f>
        <v>T25-3</v>
      </c>
      <c r="B17" t="str">
        <f t="shared" si="3"/>
        <v>VIA FRANCESCA S CABRINI VICINO AL 1-</v>
      </c>
      <c r="C17" t="str">
        <f t="shared" si="1"/>
        <v>1</v>
      </c>
      <c r="D17">
        <v>35</v>
      </c>
      <c r="E17" t="str">
        <f>"725"</f>
        <v>725</v>
      </c>
      <c r="F17" t="str">
        <f t="shared" si="2"/>
        <v>0000</v>
      </c>
    </row>
    <row r="18" spans="1:6">
      <c r="A18" t="str">
        <f>"T25-4"</f>
        <v>T25-4</v>
      </c>
      <c r="B18" t="str">
        <f t="shared" si="3"/>
        <v>VIA FRANCESCA S CABRINI VICINO AL 1-</v>
      </c>
      <c r="C18" t="str">
        <f t="shared" si="1"/>
        <v>1</v>
      </c>
      <c r="D18">
        <v>35</v>
      </c>
      <c r="E18" t="str">
        <f>"311"</f>
        <v>311</v>
      </c>
      <c r="F18" t="str">
        <f t="shared" si="2"/>
        <v>0000</v>
      </c>
    </row>
    <row r="19" spans="1:6">
      <c r="A19" t="str">
        <f>"T25-5"</f>
        <v>T25-5</v>
      </c>
      <c r="B19" t="str">
        <f t="shared" si="3"/>
        <v>VIA FRANCESCA S CABRINI VICINO AL 1-</v>
      </c>
      <c r="C19" t="str">
        <f t="shared" si="1"/>
        <v>1</v>
      </c>
      <c r="D19">
        <v>35</v>
      </c>
      <c r="E19" t="str">
        <f>"726"</f>
        <v>726</v>
      </c>
      <c r="F19" t="str">
        <f t="shared" si="2"/>
        <v>0000</v>
      </c>
    </row>
    <row r="20" spans="1:6">
      <c r="A20" t="str">
        <f>"T25-6"</f>
        <v>T25-6</v>
      </c>
      <c r="B20" t="str">
        <f t="shared" si="3"/>
        <v>VIA FRANCESCA S CABRINI VICINO AL 1-</v>
      </c>
      <c r="C20" t="str">
        <f t="shared" si="1"/>
        <v>1</v>
      </c>
      <c r="D20">
        <v>35</v>
      </c>
      <c r="E20" t="str">
        <f>"727"</f>
        <v>727</v>
      </c>
      <c r="F20" t="str">
        <f t="shared" si="2"/>
        <v>0000</v>
      </c>
    </row>
    <row r="21" spans="1:6">
      <c r="A21" t="str">
        <f>"T25-7"</f>
        <v>T25-7</v>
      </c>
      <c r="B21" t="str">
        <f t="shared" si="3"/>
        <v>VIA FRANCESCA S CABRINI VICINO AL 1-</v>
      </c>
      <c r="C21" t="str">
        <f t="shared" si="1"/>
        <v>1</v>
      </c>
      <c r="D21">
        <v>35</v>
      </c>
      <c r="E21" t="str">
        <f>"728"</f>
        <v>728</v>
      </c>
      <c r="F21" t="str">
        <f t="shared" si="2"/>
        <v>0000</v>
      </c>
    </row>
    <row r="22" spans="1:6">
      <c r="A22" t="str">
        <f>"T25-8"</f>
        <v>T25-8</v>
      </c>
      <c r="B22" t="str">
        <f t="shared" si="3"/>
        <v>VIA FRANCESCA S CABRINI VICINO AL 1-</v>
      </c>
      <c r="C22" t="str">
        <f t="shared" si="1"/>
        <v>1</v>
      </c>
      <c r="D22">
        <v>35</v>
      </c>
      <c r="E22" t="str">
        <f>"729"</f>
        <v>729</v>
      </c>
      <c r="F22" t="str">
        <f t="shared" si="2"/>
        <v>0000</v>
      </c>
    </row>
    <row r="23" spans="1:6">
      <c r="A23" t="str">
        <f>"T25-9"</f>
        <v>T25-9</v>
      </c>
      <c r="B23" t="str">
        <f t="shared" si="3"/>
        <v>VIA FRANCESCA S CABRINI VICINO AL 1-</v>
      </c>
      <c r="C23" t="str">
        <f t="shared" si="1"/>
        <v>1</v>
      </c>
      <c r="D23">
        <v>35</v>
      </c>
      <c r="E23" t="str">
        <f>"312"</f>
        <v>312</v>
      </c>
      <c r="F23" t="str">
        <f t="shared" si="2"/>
        <v>0000</v>
      </c>
    </row>
    <row r="24" spans="1:6">
      <c r="A24" t="str">
        <f>"T25-10"</f>
        <v>T25-10</v>
      </c>
      <c r="B24" t="str">
        <f t="shared" si="3"/>
        <v>VIA FRANCESCA S CABRINI VICINO AL 1-</v>
      </c>
      <c r="C24" t="str">
        <f t="shared" si="1"/>
        <v>1</v>
      </c>
      <c r="D24">
        <v>35</v>
      </c>
      <c r="E24" t="str">
        <f>"312"</f>
        <v>312</v>
      </c>
      <c r="F24" t="str">
        <f t="shared" si="2"/>
        <v>0000</v>
      </c>
    </row>
    <row r="25" spans="1:6">
      <c r="A25" t="str">
        <f>"T25-11"</f>
        <v>T25-11</v>
      </c>
      <c r="B25" t="str">
        <f t="shared" si="3"/>
        <v>VIA FRANCESCA S CABRINI VICINO AL 1-</v>
      </c>
      <c r="C25" t="str">
        <f t="shared" si="1"/>
        <v>1</v>
      </c>
      <c r="D25">
        <v>35</v>
      </c>
      <c r="E25" t="str">
        <f>"312"</f>
        <v>312</v>
      </c>
      <c r="F25" t="str">
        <f t="shared" si="2"/>
        <v>0000</v>
      </c>
    </row>
    <row r="26" spans="1:6">
      <c r="A26" t="str">
        <f>"T25-12"</f>
        <v>T25-12</v>
      </c>
      <c r="B26" t="str">
        <f t="shared" si="3"/>
        <v>VIA FRANCESCA S CABRINI VICINO AL 1-</v>
      </c>
      <c r="C26" t="str">
        <f t="shared" si="1"/>
        <v>1</v>
      </c>
      <c r="D26">
        <v>35</v>
      </c>
      <c r="E26" t="str">
        <f>"900"</f>
        <v>900</v>
      </c>
      <c r="F26" t="str">
        <f t="shared" si="2"/>
        <v>0000</v>
      </c>
    </row>
    <row r="27" spans="1:6">
      <c r="A27" t="str">
        <f>"T29-1"</f>
        <v>T29-1</v>
      </c>
      <c r="B27" t="str">
        <f>"VIA GIOVANNI BOINE VICINO AL 7-"</f>
        <v>VIA GIOVANNI BOINE VICINO AL 7-</v>
      </c>
      <c r="C27" t="str">
        <f t="shared" si="1"/>
        <v>1</v>
      </c>
      <c r="D27">
        <v>12</v>
      </c>
      <c r="E27" t="str">
        <f>"668"</f>
        <v>668</v>
      </c>
      <c r="F27" t="str">
        <f t="shared" si="2"/>
        <v>0000</v>
      </c>
    </row>
    <row r="28" spans="1:6">
      <c r="A28" t="str">
        <f>"T29-2"</f>
        <v>T29-2</v>
      </c>
      <c r="B28" t="str">
        <f>"VIA GIOVANNI BOINE VICINO AL 7-"</f>
        <v>VIA GIOVANNI BOINE VICINO AL 7-</v>
      </c>
      <c r="C28" t="str">
        <f t="shared" si="1"/>
        <v>1</v>
      </c>
      <c r="D28">
        <v>12</v>
      </c>
      <c r="E28" t="str">
        <f>"680"</f>
        <v>680</v>
      </c>
      <c r="F28" t="str">
        <f t="shared" si="2"/>
        <v>0000</v>
      </c>
    </row>
    <row r="29" spans="1:6">
      <c r="A29" t="str">
        <f>"T29-3"</f>
        <v>T29-3</v>
      </c>
      <c r="B29" t="str">
        <f>"VIA GIOVANNI BOINE VICINO AL 7-"</f>
        <v>VIA GIOVANNI BOINE VICINO AL 7-</v>
      </c>
      <c r="C29" t="str">
        <f t="shared" si="1"/>
        <v>1</v>
      </c>
      <c r="D29">
        <v>12</v>
      </c>
      <c r="E29" t="str">
        <f>"684"</f>
        <v>684</v>
      </c>
      <c r="F29" t="str">
        <f t="shared" si="2"/>
        <v>0000</v>
      </c>
    </row>
    <row r="30" spans="1:6">
      <c r="A30" t="str">
        <f>"T31-1"</f>
        <v>T31-1</v>
      </c>
      <c r="B30" t="str">
        <f>"VIA CARLO MONTANARI VICINO AL 8-"</f>
        <v>VIA CARLO MONTANARI VICINO AL 8-</v>
      </c>
      <c r="C30" t="str">
        <f t="shared" si="1"/>
        <v>1</v>
      </c>
      <c r="D30">
        <v>13</v>
      </c>
      <c r="E30" t="str">
        <f>"37"</f>
        <v>37</v>
      </c>
      <c r="F30" t="str">
        <f t="shared" si="2"/>
        <v>0000</v>
      </c>
    </row>
    <row r="31" spans="1:6">
      <c r="A31" t="str">
        <f>"T32-1"</f>
        <v>T32-1</v>
      </c>
      <c r="B31" t="str">
        <f>"VIA VINCENZO MACULANO VICINO AL 6-"</f>
        <v>VIA VINCENZO MACULANO VICINO AL 6-</v>
      </c>
      <c r="C31" t="str">
        <f t="shared" si="1"/>
        <v>1</v>
      </c>
      <c r="D31">
        <v>13</v>
      </c>
      <c r="E31" t="str">
        <f>"1"</f>
        <v>1</v>
      </c>
      <c r="F31" t="str">
        <f t="shared" si="2"/>
        <v>0000</v>
      </c>
    </row>
    <row r="32" spans="1:6">
      <c r="A32" t="str">
        <f>"T32-2"</f>
        <v>T32-2</v>
      </c>
      <c r="B32" t="str">
        <f>"VIA VINCENZO MACULANO VICINO AL 6-"</f>
        <v>VIA VINCENZO MACULANO VICINO AL 6-</v>
      </c>
      <c r="C32" t="str">
        <f t="shared" si="1"/>
        <v>1</v>
      </c>
      <c r="D32">
        <v>13</v>
      </c>
      <c r="E32" t="str">
        <f>"37"</f>
        <v>37</v>
      </c>
      <c r="F32" t="str">
        <f t="shared" si="2"/>
        <v>0000</v>
      </c>
    </row>
    <row r="33" spans="1:6">
      <c r="A33" t="str">
        <f>"T32-3"</f>
        <v>T32-3</v>
      </c>
      <c r="B33" t="str">
        <f>"VIA VINCENZO MACULANO VICINO AL 6-"</f>
        <v>VIA VINCENZO MACULANO VICINO AL 6-</v>
      </c>
      <c r="C33" t="str">
        <f t="shared" si="1"/>
        <v>1</v>
      </c>
      <c r="D33">
        <v>13</v>
      </c>
      <c r="E33" t="str">
        <f>"196"</f>
        <v>196</v>
      </c>
      <c r="F33" t="str">
        <f t="shared" si="2"/>
        <v>0000</v>
      </c>
    </row>
    <row r="34" spans="1:6">
      <c r="A34" t="str">
        <f>"T34-1"</f>
        <v>T34-1</v>
      </c>
      <c r="B34" t="str">
        <f>"VIA CANDIDO GIUSSO VICINO AL 4-"</f>
        <v>VIA CANDIDO GIUSSO VICINO AL 4-</v>
      </c>
      <c r="C34" t="str">
        <f t="shared" ref="C34:C65" si="4">"1"</f>
        <v>1</v>
      </c>
      <c r="D34">
        <v>13</v>
      </c>
      <c r="E34" t="str">
        <f>"437"</f>
        <v>437</v>
      </c>
      <c r="F34" t="str">
        <f t="shared" ref="F34:F65" si="5">"0000"</f>
        <v>0000</v>
      </c>
    </row>
    <row r="35" spans="1:6">
      <c r="A35" t="str">
        <f>"T34-2"</f>
        <v>T34-2</v>
      </c>
      <c r="B35" t="str">
        <f>"VIA CANDIDO GIUSSO VICINO AL 4-"</f>
        <v>VIA CANDIDO GIUSSO VICINO AL 4-</v>
      </c>
      <c r="C35" t="str">
        <f t="shared" si="4"/>
        <v>1</v>
      </c>
      <c r="D35">
        <v>13</v>
      </c>
      <c r="E35" t="str">
        <f>"438"</f>
        <v>438</v>
      </c>
      <c r="F35" t="str">
        <f t="shared" si="5"/>
        <v>0000</v>
      </c>
    </row>
    <row r="36" spans="1:6">
      <c r="A36" t="str">
        <f>"T35-1"</f>
        <v>T35-1</v>
      </c>
      <c r="B36" t="str">
        <f>"VIA CARLO MONTANARI VICINO AL 2-"</f>
        <v>VIA CARLO MONTANARI VICINO AL 2-</v>
      </c>
      <c r="C36" t="str">
        <f t="shared" si="4"/>
        <v>1</v>
      </c>
      <c r="D36">
        <v>13</v>
      </c>
      <c r="E36" t="str">
        <f>"225"</f>
        <v>225</v>
      </c>
      <c r="F36" t="str">
        <f t="shared" si="5"/>
        <v>0000</v>
      </c>
    </row>
    <row r="37" spans="1:6">
      <c r="A37" t="str">
        <f>"T36-1"</f>
        <v>T36-1</v>
      </c>
      <c r="B37" t="str">
        <f t="shared" ref="B37:B54" si="6">"VIA PIETRO BALESTRAZZI VICINO AL 23-"</f>
        <v>VIA PIETRO BALESTRAZZI VICINO AL 23-</v>
      </c>
      <c r="C37" t="str">
        <f t="shared" si="4"/>
        <v>1</v>
      </c>
      <c r="D37">
        <v>13</v>
      </c>
      <c r="E37" t="str">
        <f>"4"</f>
        <v>4</v>
      </c>
      <c r="F37" t="str">
        <f t="shared" si="5"/>
        <v>0000</v>
      </c>
    </row>
    <row r="38" spans="1:6">
      <c r="A38" t="str">
        <f>"T36-2"</f>
        <v>T36-2</v>
      </c>
      <c r="B38" t="str">
        <f t="shared" si="6"/>
        <v>VIA PIETRO BALESTRAZZI VICINO AL 23-</v>
      </c>
      <c r="C38" t="str">
        <f t="shared" si="4"/>
        <v>1</v>
      </c>
      <c r="D38">
        <v>13</v>
      </c>
      <c r="E38" t="str">
        <f>"11"</f>
        <v>11</v>
      </c>
      <c r="F38" t="str">
        <f t="shared" si="5"/>
        <v>0000</v>
      </c>
    </row>
    <row r="39" spans="1:6">
      <c r="A39" t="str">
        <f>"T36-3"</f>
        <v>T36-3</v>
      </c>
      <c r="B39" t="str">
        <f t="shared" si="6"/>
        <v>VIA PIETRO BALESTRAZZI VICINO AL 23-</v>
      </c>
      <c r="C39" t="str">
        <f t="shared" si="4"/>
        <v>1</v>
      </c>
      <c r="D39">
        <v>13</v>
      </c>
      <c r="E39" t="str">
        <f>"18"</f>
        <v>18</v>
      </c>
      <c r="F39" t="str">
        <f t="shared" si="5"/>
        <v>0000</v>
      </c>
    </row>
    <row r="40" spans="1:6">
      <c r="A40" t="str">
        <f>"T36-4"</f>
        <v>T36-4</v>
      </c>
      <c r="B40" t="str">
        <f t="shared" si="6"/>
        <v>VIA PIETRO BALESTRAZZI VICINO AL 23-</v>
      </c>
      <c r="C40" t="str">
        <f t="shared" si="4"/>
        <v>1</v>
      </c>
      <c r="D40">
        <v>13</v>
      </c>
      <c r="E40" t="str">
        <f t="shared" ref="E40:E45" si="7">"19"</f>
        <v>19</v>
      </c>
      <c r="F40" t="str">
        <f t="shared" si="5"/>
        <v>0000</v>
      </c>
    </row>
    <row r="41" spans="1:6">
      <c r="A41" t="str">
        <f>"T36-5"</f>
        <v>T36-5</v>
      </c>
      <c r="B41" t="str">
        <f t="shared" si="6"/>
        <v>VIA PIETRO BALESTRAZZI VICINO AL 23-</v>
      </c>
      <c r="C41" t="str">
        <f t="shared" si="4"/>
        <v>1</v>
      </c>
      <c r="D41">
        <v>13</v>
      </c>
      <c r="E41" t="str">
        <f t="shared" si="7"/>
        <v>19</v>
      </c>
      <c r="F41" t="str">
        <f t="shared" si="5"/>
        <v>0000</v>
      </c>
    </row>
    <row r="42" spans="1:6">
      <c r="A42" t="str">
        <f>"T36-6"</f>
        <v>T36-6</v>
      </c>
      <c r="B42" t="str">
        <f t="shared" si="6"/>
        <v>VIA PIETRO BALESTRAZZI VICINO AL 23-</v>
      </c>
      <c r="C42" t="str">
        <f t="shared" si="4"/>
        <v>1</v>
      </c>
      <c r="D42">
        <v>13</v>
      </c>
      <c r="E42" t="str">
        <f t="shared" si="7"/>
        <v>19</v>
      </c>
      <c r="F42" t="str">
        <f t="shared" si="5"/>
        <v>0000</v>
      </c>
    </row>
    <row r="43" spans="1:6">
      <c r="A43" t="str">
        <f>"T36-7"</f>
        <v>T36-7</v>
      </c>
      <c r="B43" t="str">
        <f t="shared" si="6"/>
        <v>VIA PIETRO BALESTRAZZI VICINO AL 23-</v>
      </c>
      <c r="C43" t="str">
        <f t="shared" si="4"/>
        <v>1</v>
      </c>
      <c r="D43">
        <v>13</v>
      </c>
      <c r="E43" t="str">
        <f t="shared" si="7"/>
        <v>19</v>
      </c>
      <c r="F43" t="str">
        <f t="shared" si="5"/>
        <v>0000</v>
      </c>
    </row>
    <row r="44" spans="1:6">
      <c r="A44" t="str">
        <f>"T36-8"</f>
        <v>T36-8</v>
      </c>
      <c r="B44" t="str">
        <f t="shared" si="6"/>
        <v>VIA PIETRO BALESTRAZZI VICINO AL 23-</v>
      </c>
      <c r="C44" t="str">
        <f t="shared" si="4"/>
        <v>1</v>
      </c>
      <c r="D44">
        <v>13</v>
      </c>
      <c r="E44" t="str">
        <f t="shared" si="7"/>
        <v>19</v>
      </c>
      <c r="F44" t="str">
        <f t="shared" si="5"/>
        <v>0000</v>
      </c>
    </row>
    <row r="45" spans="1:6">
      <c r="A45" t="str">
        <f>"T36-9"</f>
        <v>T36-9</v>
      </c>
      <c r="B45" t="str">
        <f t="shared" si="6"/>
        <v>VIA PIETRO BALESTRAZZI VICINO AL 23-</v>
      </c>
      <c r="C45" t="str">
        <f t="shared" si="4"/>
        <v>1</v>
      </c>
      <c r="D45">
        <v>13</v>
      </c>
      <c r="E45" t="str">
        <f t="shared" si="7"/>
        <v>19</v>
      </c>
      <c r="F45" t="str">
        <f t="shared" si="5"/>
        <v>0000</v>
      </c>
    </row>
    <row r="46" spans="1:6">
      <c r="A46" t="str">
        <f>"T36-10"</f>
        <v>T36-10</v>
      </c>
      <c r="B46" t="str">
        <f t="shared" si="6"/>
        <v>VIA PIETRO BALESTRAZZI VICINO AL 23-</v>
      </c>
      <c r="C46" t="str">
        <f t="shared" si="4"/>
        <v>1</v>
      </c>
      <c r="D46">
        <v>13</v>
      </c>
      <c r="E46" t="str">
        <f>"36"</f>
        <v>36</v>
      </c>
      <c r="F46" t="str">
        <f t="shared" si="5"/>
        <v>0000</v>
      </c>
    </row>
    <row r="47" spans="1:6">
      <c r="A47" t="str">
        <f>"T36-11"</f>
        <v>T36-11</v>
      </c>
      <c r="B47" t="str">
        <f t="shared" si="6"/>
        <v>VIA PIETRO BALESTRAZZI VICINO AL 23-</v>
      </c>
      <c r="C47" t="str">
        <f t="shared" si="4"/>
        <v>1</v>
      </c>
      <c r="D47">
        <v>13</v>
      </c>
      <c r="E47" t="str">
        <f>"43"</f>
        <v>43</v>
      </c>
      <c r="F47" t="str">
        <f t="shared" si="5"/>
        <v>0000</v>
      </c>
    </row>
    <row r="48" spans="1:6">
      <c r="A48" t="str">
        <f>"T36-12"</f>
        <v>T36-12</v>
      </c>
      <c r="B48" t="str">
        <f t="shared" si="6"/>
        <v>VIA PIETRO BALESTRAZZI VICINO AL 23-</v>
      </c>
      <c r="C48" t="str">
        <f t="shared" si="4"/>
        <v>1</v>
      </c>
      <c r="D48">
        <v>13</v>
      </c>
      <c r="E48" t="str">
        <f>"43"</f>
        <v>43</v>
      </c>
      <c r="F48" t="str">
        <f t="shared" si="5"/>
        <v>0000</v>
      </c>
    </row>
    <row r="49" spans="1:6">
      <c r="A49" t="str">
        <f>"T36-13"</f>
        <v>T36-13</v>
      </c>
      <c r="B49" t="str">
        <f t="shared" si="6"/>
        <v>VIA PIETRO BALESTRAZZI VICINO AL 23-</v>
      </c>
      <c r="C49" t="str">
        <f t="shared" si="4"/>
        <v>1</v>
      </c>
      <c r="D49">
        <v>13</v>
      </c>
      <c r="E49" t="str">
        <f>"64"</f>
        <v>64</v>
      </c>
      <c r="F49" t="str">
        <f t="shared" si="5"/>
        <v>0000</v>
      </c>
    </row>
    <row r="50" spans="1:6">
      <c r="A50" t="str">
        <f>"T36-14"</f>
        <v>T36-14</v>
      </c>
      <c r="B50" t="str">
        <f t="shared" si="6"/>
        <v>VIA PIETRO BALESTRAZZI VICINO AL 23-</v>
      </c>
      <c r="C50" t="str">
        <f t="shared" si="4"/>
        <v>1</v>
      </c>
      <c r="D50">
        <v>13</v>
      </c>
      <c r="E50" t="str">
        <f>"64"</f>
        <v>64</v>
      </c>
      <c r="F50" t="str">
        <f t="shared" si="5"/>
        <v>0000</v>
      </c>
    </row>
    <row r="51" spans="1:6">
      <c r="A51" t="str">
        <f>"T36-15"</f>
        <v>T36-15</v>
      </c>
      <c r="B51" t="str">
        <f t="shared" si="6"/>
        <v>VIA PIETRO BALESTRAZZI VICINO AL 23-</v>
      </c>
      <c r="C51" t="str">
        <f t="shared" si="4"/>
        <v>1</v>
      </c>
      <c r="D51">
        <v>14</v>
      </c>
      <c r="E51" t="str">
        <f>"508"</f>
        <v>508</v>
      </c>
      <c r="F51" t="str">
        <f t="shared" si="5"/>
        <v>0000</v>
      </c>
    </row>
    <row r="52" spans="1:6">
      <c r="A52" t="str">
        <f>"T36-16"</f>
        <v>T36-16</v>
      </c>
      <c r="B52" t="str">
        <f t="shared" si="6"/>
        <v>VIA PIETRO BALESTRAZZI VICINO AL 23-</v>
      </c>
      <c r="C52" t="str">
        <f t="shared" si="4"/>
        <v>1</v>
      </c>
      <c r="D52">
        <v>14</v>
      </c>
      <c r="E52" t="str">
        <f>"615"</f>
        <v>615</v>
      </c>
      <c r="F52" t="str">
        <f t="shared" si="5"/>
        <v>0000</v>
      </c>
    </row>
    <row r="53" spans="1:6">
      <c r="A53" t="str">
        <f>"T36-17"</f>
        <v>T36-17</v>
      </c>
      <c r="B53" t="str">
        <f t="shared" si="6"/>
        <v>VIA PIETRO BALESTRAZZI VICINO AL 23-</v>
      </c>
      <c r="C53" t="str">
        <f t="shared" si="4"/>
        <v>1</v>
      </c>
      <c r="D53">
        <v>14</v>
      </c>
      <c r="E53" t="str">
        <f>"4"</f>
        <v>4</v>
      </c>
      <c r="F53" t="str">
        <f t="shared" si="5"/>
        <v>0000</v>
      </c>
    </row>
    <row r="54" spans="1:6">
      <c r="A54" t="str">
        <f>"T36-18"</f>
        <v>T36-18</v>
      </c>
      <c r="B54" t="str">
        <f t="shared" si="6"/>
        <v>VIA PIETRO BALESTRAZZI VICINO AL 23-</v>
      </c>
      <c r="C54" t="str">
        <f t="shared" si="4"/>
        <v>1</v>
      </c>
      <c r="D54">
        <v>14</v>
      </c>
      <c r="E54" t="str">
        <f>"4"</f>
        <v>4</v>
      </c>
      <c r="F54" t="str">
        <f t="shared" si="5"/>
        <v>0000</v>
      </c>
    </row>
    <row r="55" spans="1:6">
      <c r="A55" t="str">
        <f>"T37-1"</f>
        <v>T37-1</v>
      </c>
      <c r="B55" t="str">
        <f>"VIA PIETRO BALESTRAZZI VICINO AL 21-"</f>
        <v>VIA PIETRO BALESTRAZZI VICINO AL 21-</v>
      </c>
      <c r="C55" t="str">
        <f t="shared" si="4"/>
        <v>1</v>
      </c>
      <c r="D55">
        <v>13</v>
      </c>
      <c r="E55" t="str">
        <f>"3"</f>
        <v>3</v>
      </c>
      <c r="F55" t="str">
        <f t="shared" si="5"/>
        <v>0000</v>
      </c>
    </row>
    <row r="56" spans="1:6">
      <c r="A56" t="str">
        <f>"T37-2"</f>
        <v>T37-2</v>
      </c>
      <c r="B56" t="str">
        <f>"VIA PIETRO BALESTRAZZI VICINO AL 21-"</f>
        <v>VIA PIETRO BALESTRAZZI VICINO AL 21-</v>
      </c>
      <c r="C56" t="str">
        <f t="shared" si="4"/>
        <v>1</v>
      </c>
      <c r="D56">
        <v>13</v>
      </c>
      <c r="E56" t="str">
        <f>"19"</f>
        <v>19</v>
      </c>
      <c r="F56" t="str">
        <f t="shared" si="5"/>
        <v>0000</v>
      </c>
    </row>
    <row r="57" spans="1:6">
      <c r="A57" t="str">
        <f>"T37-3"</f>
        <v>T37-3</v>
      </c>
      <c r="B57" t="str">
        <f>"VIA PIETRO BALESTRAZZI VICINO AL 21-"</f>
        <v>VIA PIETRO BALESTRAZZI VICINO AL 21-</v>
      </c>
      <c r="C57" t="str">
        <f t="shared" si="4"/>
        <v>1</v>
      </c>
      <c r="D57">
        <v>13</v>
      </c>
      <c r="E57" t="str">
        <f>"43"</f>
        <v>43</v>
      </c>
      <c r="F57" t="str">
        <f t="shared" si="5"/>
        <v>0000</v>
      </c>
    </row>
    <row r="58" spans="1:6">
      <c r="A58" t="str">
        <f>"T37-4"</f>
        <v>T37-4</v>
      </c>
      <c r="B58" t="str">
        <f>"VIA PIETRO BALESTRAZZI VICINO AL 21-"</f>
        <v>VIA PIETRO BALESTRAZZI VICINO AL 21-</v>
      </c>
      <c r="C58" t="str">
        <f t="shared" si="4"/>
        <v>1</v>
      </c>
      <c r="D58">
        <v>14</v>
      </c>
      <c r="E58" t="str">
        <f>"11"</f>
        <v>11</v>
      </c>
      <c r="F58" t="str">
        <f t="shared" si="5"/>
        <v>0000</v>
      </c>
    </row>
    <row r="59" spans="1:6">
      <c r="A59" t="str">
        <f>"T38-1"</f>
        <v>T38-1</v>
      </c>
      <c r="B59" t="str">
        <f>"VIA GIOVANNI BOINE VICINO AL 30-"</f>
        <v>VIA GIOVANNI BOINE VICINO AL 30-</v>
      </c>
      <c r="C59" t="str">
        <f t="shared" si="4"/>
        <v>1</v>
      </c>
      <c r="D59">
        <v>12</v>
      </c>
      <c r="E59" t="str">
        <f>"218"</f>
        <v>218</v>
      </c>
      <c r="F59" t="str">
        <f t="shared" si="5"/>
        <v>0000</v>
      </c>
    </row>
    <row r="60" spans="1:6">
      <c r="A60" t="str">
        <f>"T38-2"</f>
        <v>T38-2</v>
      </c>
      <c r="B60" t="str">
        <f>"VIA GIOVANNI BOINE VICINO AL 30-"</f>
        <v>VIA GIOVANNI BOINE VICINO AL 30-</v>
      </c>
      <c r="C60" t="str">
        <f t="shared" si="4"/>
        <v>1</v>
      </c>
      <c r="D60">
        <v>12</v>
      </c>
      <c r="E60" t="str">
        <f>"793"</f>
        <v>793</v>
      </c>
      <c r="F60" t="str">
        <f t="shared" si="5"/>
        <v>0000</v>
      </c>
    </row>
    <row r="61" spans="1:6">
      <c r="A61" t="str">
        <f>"T150-2"</f>
        <v>T150-2</v>
      </c>
      <c r="B61" t="str">
        <f>"VIA IMPERIA VICINO AL 4-"</f>
        <v>VIA IMPERIA VICINO AL 4-</v>
      </c>
      <c r="C61" t="str">
        <f t="shared" si="4"/>
        <v>1</v>
      </c>
      <c r="D61">
        <v>48</v>
      </c>
      <c r="E61" t="str">
        <f>"H"</f>
        <v>H</v>
      </c>
      <c r="F61" t="str">
        <f t="shared" si="5"/>
        <v>0000</v>
      </c>
    </row>
    <row r="62" spans="1:6">
      <c r="A62" t="str">
        <f>"T719-1"</f>
        <v>T719-1</v>
      </c>
      <c r="B62" t="str">
        <f>"VIA AI PRATI D OREGINA VICINO AL 18-"</f>
        <v>VIA AI PRATI D OREGINA VICINO AL 18-</v>
      </c>
      <c r="C62" t="str">
        <f t="shared" si="4"/>
        <v>1</v>
      </c>
      <c r="D62">
        <v>6</v>
      </c>
      <c r="E62" t="str">
        <f>"99999"</f>
        <v>99999</v>
      </c>
      <c r="F62" t="str">
        <f t="shared" si="5"/>
        <v>0000</v>
      </c>
    </row>
    <row r="63" spans="1:6">
      <c r="A63" t="str">
        <f>"T721-1"</f>
        <v>T721-1</v>
      </c>
      <c r="B63" t="str">
        <f t="shared" ref="B63:B70" si="8">"VIA CAPRI VICINO AL 71-"</f>
        <v>VIA CAPRI VICINO AL 71-</v>
      </c>
      <c r="C63" t="str">
        <f t="shared" si="4"/>
        <v>1</v>
      </c>
      <c r="D63">
        <v>6</v>
      </c>
      <c r="E63" t="str">
        <f>"291"</f>
        <v>291</v>
      </c>
      <c r="F63" t="str">
        <f t="shared" si="5"/>
        <v>0000</v>
      </c>
    </row>
    <row r="64" spans="1:6">
      <c r="A64" t="str">
        <f>"T721-2"</f>
        <v>T721-2</v>
      </c>
      <c r="B64" t="str">
        <f t="shared" si="8"/>
        <v>VIA CAPRI VICINO AL 71-</v>
      </c>
      <c r="C64" t="str">
        <f t="shared" si="4"/>
        <v>1</v>
      </c>
      <c r="D64">
        <v>6</v>
      </c>
      <c r="E64" t="str">
        <f>"109"</f>
        <v>109</v>
      </c>
      <c r="F64" t="str">
        <f t="shared" si="5"/>
        <v>0000</v>
      </c>
    </row>
    <row r="65" spans="1:6">
      <c r="A65" t="str">
        <f>"T721-3"</f>
        <v>T721-3</v>
      </c>
      <c r="B65" t="str">
        <f t="shared" si="8"/>
        <v>VIA CAPRI VICINO AL 71-</v>
      </c>
      <c r="C65" t="str">
        <f t="shared" si="4"/>
        <v>1</v>
      </c>
      <c r="D65">
        <v>6</v>
      </c>
      <c r="E65" t="str">
        <f>"286"</f>
        <v>286</v>
      </c>
      <c r="F65" t="str">
        <f t="shared" si="5"/>
        <v>0000</v>
      </c>
    </row>
    <row r="66" spans="1:6">
      <c r="A66" t="str">
        <f>"T721-4"</f>
        <v>T721-4</v>
      </c>
      <c r="B66" t="str">
        <f t="shared" si="8"/>
        <v>VIA CAPRI VICINO AL 71-</v>
      </c>
      <c r="C66" t="str">
        <f t="shared" ref="C66:C97" si="9">"1"</f>
        <v>1</v>
      </c>
      <c r="D66">
        <v>6</v>
      </c>
      <c r="E66" t="str">
        <f>"287"</f>
        <v>287</v>
      </c>
      <c r="F66" t="str">
        <f t="shared" ref="F66:F102" si="10">"0000"</f>
        <v>0000</v>
      </c>
    </row>
    <row r="67" spans="1:6">
      <c r="A67" t="str">
        <f>"T721-5"</f>
        <v>T721-5</v>
      </c>
      <c r="B67" t="str">
        <f t="shared" si="8"/>
        <v>VIA CAPRI VICINO AL 71-</v>
      </c>
      <c r="C67" t="str">
        <f t="shared" si="9"/>
        <v>1</v>
      </c>
      <c r="D67">
        <v>6</v>
      </c>
      <c r="E67" t="str">
        <f>"288"</f>
        <v>288</v>
      </c>
      <c r="F67" t="str">
        <f t="shared" si="10"/>
        <v>0000</v>
      </c>
    </row>
    <row r="68" spans="1:6">
      <c r="A68" t="str">
        <f>"T721-6"</f>
        <v>T721-6</v>
      </c>
      <c r="B68" t="str">
        <f t="shared" si="8"/>
        <v>VIA CAPRI VICINO AL 71-</v>
      </c>
      <c r="C68" t="str">
        <f t="shared" si="9"/>
        <v>1</v>
      </c>
      <c r="D68">
        <v>6</v>
      </c>
      <c r="E68" t="str">
        <f>"294"</f>
        <v>294</v>
      </c>
      <c r="F68" t="str">
        <f t="shared" si="10"/>
        <v>0000</v>
      </c>
    </row>
    <row r="69" spans="1:6">
      <c r="A69" t="str">
        <f>"T721-7"</f>
        <v>T721-7</v>
      </c>
      <c r="B69" t="str">
        <f t="shared" si="8"/>
        <v>VIA CAPRI VICINO AL 71-</v>
      </c>
      <c r="C69" t="str">
        <f t="shared" si="9"/>
        <v>1</v>
      </c>
      <c r="D69">
        <v>6</v>
      </c>
      <c r="E69" t="str">
        <f>"295"</f>
        <v>295</v>
      </c>
      <c r="F69" t="str">
        <f t="shared" si="10"/>
        <v>0000</v>
      </c>
    </row>
    <row r="70" spans="1:6">
      <c r="A70" t="str">
        <f>"T721-8"</f>
        <v>T721-8</v>
      </c>
      <c r="B70" t="str">
        <f t="shared" si="8"/>
        <v>VIA CAPRI VICINO AL 71-</v>
      </c>
      <c r="C70" t="str">
        <f t="shared" si="9"/>
        <v>1</v>
      </c>
      <c r="D70">
        <v>6</v>
      </c>
      <c r="E70" t="str">
        <f>"290"</f>
        <v>290</v>
      </c>
      <c r="F70" t="str">
        <f t="shared" si="10"/>
        <v>0000</v>
      </c>
    </row>
    <row r="71" spans="1:6">
      <c r="A71" t="str">
        <f>"T790-1"</f>
        <v>T790-1</v>
      </c>
      <c r="B71" t="str">
        <f>"VIA DELLA CONCEZIONE VICINO AL 2-"</f>
        <v>VIA DELLA CONCEZIONE VICINO AL 2-</v>
      </c>
      <c r="C71" t="str">
        <f t="shared" si="9"/>
        <v>1</v>
      </c>
      <c r="D71">
        <v>46</v>
      </c>
      <c r="E71" t="str">
        <f>"312"</f>
        <v>312</v>
      </c>
      <c r="F71" t="str">
        <f t="shared" si="10"/>
        <v>0000</v>
      </c>
    </row>
    <row r="72" spans="1:6">
      <c r="A72" t="str">
        <f>"T791-1"</f>
        <v>T791-1</v>
      </c>
      <c r="B72" t="str">
        <f>"CORSO DOGALI  18-"</f>
        <v>CORSO DOGALI  18-</v>
      </c>
      <c r="C72" t="str">
        <f t="shared" si="9"/>
        <v>1</v>
      </c>
      <c r="D72">
        <v>32</v>
      </c>
      <c r="E72" t="str">
        <f>"853"</f>
        <v>853</v>
      </c>
      <c r="F72" t="str">
        <f t="shared" si="10"/>
        <v>0000</v>
      </c>
    </row>
    <row r="73" spans="1:6">
      <c r="A73" t="str">
        <f>"T791-2"</f>
        <v>T791-2</v>
      </c>
      <c r="B73" t="str">
        <f>"CORSO DOGALI  18-"</f>
        <v>CORSO DOGALI  18-</v>
      </c>
      <c r="C73" t="str">
        <f t="shared" si="9"/>
        <v>1</v>
      </c>
      <c r="D73">
        <v>32</v>
      </c>
      <c r="E73" t="str">
        <f>"147"</f>
        <v>147</v>
      </c>
      <c r="F73" t="str">
        <f t="shared" si="10"/>
        <v>0000</v>
      </c>
    </row>
    <row r="74" spans="1:6">
      <c r="A74" t="str">
        <f>"T852-1"</f>
        <v>T852-1</v>
      </c>
      <c r="B74" t="str">
        <f>"VIA ANTONIO GRAMSCI VICINO AL 35-"</f>
        <v>VIA ANTONIO GRAMSCI VICINO AL 35-</v>
      </c>
      <c r="C74" t="str">
        <f t="shared" si="9"/>
        <v>1</v>
      </c>
      <c r="D74">
        <v>44</v>
      </c>
      <c r="E74" t="str">
        <f>"427"</f>
        <v>427</v>
      </c>
      <c r="F74" t="str">
        <f t="shared" si="10"/>
        <v>0000</v>
      </c>
    </row>
    <row r="75" spans="1:6">
      <c r="A75" t="str">
        <f>"T861-1"</f>
        <v>T861-1</v>
      </c>
      <c r="B75" t="str">
        <f>"CORSO FIRENZE VICINO AL 24-"</f>
        <v>CORSO FIRENZE VICINO AL 24-</v>
      </c>
      <c r="C75" t="str">
        <f t="shared" si="9"/>
        <v>1</v>
      </c>
      <c r="D75">
        <v>34</v>
      </c>
      <c r="E75" t="str">
        <f>"38"</f>
        <v>38</v>
      </c>
      <c r="F75" t="str">
        <f t="shared" si="10"/>
        <v>0000</v>
      </c>
    </row>
    <row r="76" spans="1:6">
      <c r="A76" t="str">
        <f>"T861-3"</f>
        <v>T861-3</v>
      </c>
      <c r="B76" t="str">
        <f>"CORSO FIRENZE VICINO AL 24-"</f>
        <v>CORSO FIRENZE VICINO AL 24-</v>
      </c>
      <c r="C76" t="str">
        <f t="shared" si="9"/>
        <v>1</v>
      </c>
      <c r="D76">
        <v>34</v>
      </c>
      <c r="E76" t="str">
        <f>"24"</f>
        <v>24</v>
      </c>
      <c r="F76" t="str">
        <f t="shared" si="10"/>
        <v>0000</v>
      </c>
    </row>
    <row r="77" spans="1:6">
      <c r="A77" t="str">
        <f>"T861-4"</f>
        <v>T861-4</v>
      </c>
      <c r="B77" t="str">
        <f>"CORSO FIRENZE VICINO AL 24-"</f>
        <v>CORSO FIRENZE VICINO AL 24-</v>
      </c>
      <c r="C77" t="str">
        <f t="shared" si="9"/>
        <v>1</v>
      </c>
      <c r="D77">
        <v>34</v>
      </c>
      <c r="E77" t="str">
        <f>"43"</f>
        <v>43</v>
      </c>
      <c r="F77" t="str">
        <f t="shared" si="10"/>
        <v>0000</v>
      </c>
    </row>
    <row r="78" spans="1:6">
      <c r="A78" t="str">
        <f>"T861-5"</f>
        <v>T861-5</v>
      </c>
      <c r="B78" t="str">
        <f>"CORSO FIRENZE VICINO AL 24-"</f>
        <v>CORSO FIRENZE VICINO AL 24-</v>
      </c>
      <c r="C78" t="str">
        <f t="shared" si="9"/>
        <v>1</v>
      </c>
      <c r="D78">
        <v>34</v>
      </c>
      <c r="E78" t="str">
        <f>"1026"</f>
        <v>1026</v>
      </c>
      <c r="F78" t="str">
        <f t="shared" si="10"/>
        <v>0000</v>
      </c>
    </row>
    <row r="79" spans="1:6">
      <c r="A79" t="str">
        <f>"T862-1"</f>
        <v>T862-1</v>
      </c>
      <c r="B79" t="str">
        <f>"SALITA DI OREGINA VICINO AL 26A-"</f>
        <v>SALITA DI OREGINA VICINO AL 26A-</v>
      </c>
      <c r="C79" t="str">
        <f t="shared" si="9"/>
        <v>1</v>
      </c>
      <c r="D79">
        <v>12</v>
      </c>
      <c r="E79" t="str">
        <f>"698"</f>
        <v>698</v>
      </c>
      <c r="F79" t="str">
        <f t="shared" si="10"/>
        <v>0000</v>
      </c>
    </row>
    <row r="80" spans="1:6">
      <c r="A80" t="str">
        <f>"T865-1"</f>
        <v>T865-1</v>
      </c>
      <c r="B80" t="str">
        <f>"VIA GIOVANNI CARBONE VICINO AL 16-"</f>
        <v>VIA GIOVANNI CARBONE VICINO AL 16-</v>
      </c>
      <c r="C80" t="str">
        <f t="shared" si="9"/>
        <v>1</v>
      </c>
      <c r="D80">
        <v>13</v>
      </c>
      <c r="E80" t="str">
        <f>"213"</f>
        <v>213</v>
      </c>
      <c r="F80" t="str">
        <f t="shared" si="10"/>
        <v>0000</v>
      </c>
    </row>
    <row r="81" spans="1:6">
      <c r="A81" t="str">
        <f>"T870-1"</f>
        <v>T870-1</v>
      </c>
      <c r="B81" t="str">
        <f>"CORSO MAGENTA VICINO AL 3-"</f>
        <v>CORSO MAGENTA VICINO AL 3-</v>
      </c>
      <c r="C81" t="str">
        <f t="shared" si="9"/>
        <v>1</v>
      </c>
      <c r="D81">
        <v>47</v>
      </c>
      <c r="E81" t="str">
        <f>"3"</f>
        <v>3</v>
      </c>
      <c r="F81" t="str">
        <f t="shared" si="10"/>
        <v>0000</v>
      </c>
    </row>
    <row r="82" spans="1:6">
      <c r="A82" t="str">
        <f>"T871-2"</f>
        <v>T871-2</v>
      </c>
      <c r="B82" t="str">
        <f t="shared" ref="B82:B95" si="11">"VIA BARTOLOMEO BIANCO  2B-"</f>
        <v>VIA BARTOLOMEO BIANCO  2B-</v>
      </c>
      <c r="C82" t="str">
        <f t="shared" si="9"/>
        <v>1</v>
      </c>
      <c r="D82">
        <v>6</v>
      </c>
      <c r="E82" t="str">
        <f>"60"</f>
        <v>60</v>
      </c>
      <c r="F82" t="str">
        <f t="shared" si="10"/>
        <v>0000</v>
      </c>
    </row>
    <row r="83" spans="1:6">
      <c r="A83" t="str">
        <f>"T871-3"</f>
        <v>T871-3</v>
      </c>
      <c r="B83" t="str">
        <f t="shared" si="11"/>
        <v>VIA BARTOLOMEO BIANCO  2B-</v>
      </c>
      <c r="C83" t="str">
        <f t="shared" si="9"/>
        <v>1</v>
      </c>
      <c r="D83">
        <v>6</v>
      </c>
      <c r="E83" t="str">
        <f>"61"</f>
        <v>61</v>
      </c>
      <c r="F83" t="str">
        <f t="shared" si="10"/>
        <v>0000</v>
      </c>
    </row>
    <row r="84" spans="1:6">
      <c r="A84" t="str">
        <f>"T871-4"</f>
        <v>T871-4</v>
      </c>
      <c r="B84" t="str">
        <f t="shared" si="11"/>
        <v>VIA BARTOLOMEO BIANCO  2B-</v>
      </c>
      <c r="C84" t="str">
        <f t="shared" si="9"/>
        <v>1</v>
      </c>
      <c r="D84">
        <v>6</v>
      </c>
      <c r="E84" t="str">
        <f>"67"</f>
        <v>67</v>
      </c>
      <c r="F84" t="str">
        <f t="shared" si="10"/>
        <v>0000</v>
      </c>
    </row>
    <row r="85" spans="1:6">
      <c r="A85" t="str">
        <f>"T871-5"</f>
        <v>T871-5</v>
      </c>
      <c r="B85" t="str">
        <f t="shared" si="11"/>
        <v>VIA BARTOLOMEO BIANCO  2B-</v>
      </c>
      <c r="C85" t="str">
        <f t="shared" si="9"/>
        <v>1</v>
      </c>
      <c r="D85">
        <v>6</v>
      </c>
      <c r="E85" t="str">
        <f>"124"</f>
        <v>124</v>
      </c>
      <c r="F85" t="str">
        <f t="shared" si="10"/>
        <v>0000</v>
      </c>
    </row>
    <row r="86" spans="1:6">
      <c r="A86" t="str">
        <f>"T871-6"</f>
        <v>T871-6</v>
      </c>
      <c r="B86" t="str">
        <f t="shared" si="11"/>
        <v>VIA BARTOLOMEO BIANCO  2B-</v>
      </c>
      <c r="C86" t="str">
        <f t="shared" si="9"/>
        <v>1</v>
      </c>
      <c r="D86">
        <v>6</v>
      </c>
      <c r="E86" t="str">
        <f>"139"</f>
        <v>139</v>
      </c>
      <c r="F86" t="str">
        <f t="shared" si="10"/>
        <v>0000</v>
      </c>
    </row>
    <row r="87" spans="1:6">
      <c r="A87" t="str">
        <f>"T871-7"</f>
        <v>T871-7</v>
      </c>
      <c r="B87" t="str">
        <f t="shared" si="11"/>
        <v>VIA BARTOLOMEO BIANCO  2B-</v>
      </c>
      <c r="C87" t="str">
        <f t="shared" si="9"/>
        <v>1</v>
      </c>
      <c r="D87">
        <v>6</v>
      </c>
      <c r="E87" t="str">
        <f>"140"</f>
        <v>140</v>
      </c>
      <c r="F87" t="str">
        <f t="shared" si="10"/>
        <v>0000</v>
      </c>
    </row>
    <row r="88" spans="1:6">
      <c r="A88" t="str">
        <f>"T871-8"</f>
        <v>T871-8</v>
      </c>
      <c r="B88" t="str">
        <f t="shared" si="11"/>
        <v>VIA BARTOLOMEO BIANCO  2B-</v>
      </c>
      <c r="C88" t="str">
        <f t="shared" si="9"/>
        <v>1</v>
      </c>
      <c r="D88">
        <v>11</v>
      </c>
      <c r="E88" t="str">
        <f>"253"</f>
        <v>253</v>
      </c>
      <c r="F88" t="str">
        <f t="shared" si="10"/>
        <v>0000</v>
      </c>
    </row>
    <row r="89" spans="1:6">
      <c r="A89" t="str">
        <f>"T871-9"</f>
        <v>T871-9</v>
      </c>
      <c r="B89" t="str">
        <f t="shared" si="11"/>
        <v>VIA BARTOLOMEO BIANCO  2B-</v>
      </c>
      <c r="C89" t="str">
        <f t="shared" si="9"/>
        <v>1</v>
      </c>
      <c r="D89">
        <v>11</v>
      </c>
      <c r="E89" t="str">
        <f>"254"</f>
        <v>254</v>
      </c>
      <c r="F89" t="str">
        <f t="shared" si="10"/>
        <v>0000</v>
      </c>
    </row>
    <row r="90" spans="1:6">
      <c r="A90" t="str">
        <f>"T871-10"</f>
        <v>T871-10</v>
      </c>
      <c r="B90" t="str">
        <f t="shared" si="11"/>
        <v>VIA BARTOLOMEO BIANCO  2B-</v>
      </c>
      <c r="C90" t="str">
        <f t="shared" si="9"/>
        <v>1</v>
      </c>
      <c r="D90">
        <v>6</v>
      </c>
      <c r="E90" t="str">
        <f>"307"</f>
        <v>307</v>
      </c>
      <c r="F90" t="str">
        <f t="shared" si="10"/>
        <v>0000</v>
      </c>
    </row>
    <row r="91" spans="1:6">
      <c r="A91" t="str">
        <f>"T871-11"</f>
        <v>T871-11</v>
      </c>
      <c r="B91" t="str">
        <f t="shared" si="11"/>
        <v>VIA BARTOLOMEO BIANCO  2B-</v>
      </c>
      <c r="C91" t="str">
        <f t="shared" si="9"/>
        <v>1</v>
      </c>
      <c r="D91">
        <v>6</v>
      </c>
      <c r="E91" t="str">
        <f>"322"</f>
        <v>322</v>
      </c>
      <c r="F91" t="str">
        <f t="shared" si="10"/>
        <v>0000</v>
      </c>
    </row>
    <row r="92" spans="1:6">
      <c r="A92" t="str">
        <f>"T871-12"</f>
        <v>T871-12</v>
      </c>
      <c r="B92" t="str">
        <f t="shared" si="11"/>
        <v>VIA BARTOLOMEO BIANCO  2B-</v>
      </c>
      <c r="C92" t="str">
        <f t="shared" si="9"/>
        <v>1</v>
      </c>
      <c r="D92">
        <v>6</v>
      </c>
      <c r="E92" t="str">
        <f>"99999"</f>
        <v>99999</v>
      </c>
      <c r="F92" t="str">
        <f t="shared" si="10"/>
        <v>0000</v>
      </c>
    </row>
    <row r="93" spans="1:6">
      <c r="A93" t="str">
        <f>"T871-13"</f>
        <v>T871-13</v>
      </c>
      <c r="B93" t="str">
        <f t="shared" si="11"/>
        <v>VIA BARTOLOMEO BIANCO  2B-</v>
      </c>
      <c r="C93" t="str">
        <f t="shared" si="9"/>
        <v>1</v>
      </c>
      <c r="D93">
        <v>11</v>
      </c>
      <c r="E93" t="str">
        <f>"400"</f>
        <v>400</v>
      </c>
      <c r="F93" t="str">
        <f t="shared" si="10"/>
        <v>0000</v>
      </c>
    </row>
    <row r="94" spans="1:6">
      <c r="A94" t="str">
        <f>"T871-14"</f>
        <v>T871-14</v>
      </c>
      <c r="B94" t="str">
        <f t="shared" si="11"/>
        <v>VIA BARTOLOMEO BIANCO  2B-</v>
      </c>
      <c r="C94" t="str">
        <f t="shared" si="9"/>
        <v>1</v>
      </c>
      <c r="D94">
        <v>6</v>
      </c>
      <c r="E94" t="str">
        <f>"99999"</f>
        <v>99999</v>
      </c>
      <c r="F94" t="str">
        <f t="shared" si="10"/>
        <v>0000</v>
      </c>
    </row>
    <row r="95" spans="1:6">
      <c r="A95" t="str">
        <f>"T871-15"</f>
        <v>T871-15</v>
      </c>
      <c r="B95" t="str">
        <f t="shared" si="11"/>
        <v>VIA BARTOLOMEO BIANCO  2B-</v>
      </c>
      <c r="C95" t="str">
        <f t="shared" si="9"/>
        <v>1</v>
      </c>
      <c r="D95">
        <v>11</v>
      </c>
      <c r="E95" t="str">
        <f>"473"</f>
        <v>473</v>
      </c>
      <c r="F95" t="str">
        <f t="shared" si="10"/>
        <v>0000</v>
      </c>
    </row>
    <row r="96" spans="1:6">
      <c r="A96" t="str">
        <f>"T873-1"</f>
        <v>T873-1</v>
      </c>
      <c r="B96" t="str">
        <f>"VIA DELLA CONCEZIONE VICINO AL 2-"</f>
        <v>VIA DELLA CONCEZIONE VICINO AL 2-</v>
      </c>
      <c r="C96" t="str">
        <f t="shared" si="9"/>
        <v>1</v>
      </c>
      <c r="D96">
        <v>34</v>
      </c>
      <c r="E96" t="str">
        <f>"633"</f>
        <v>633</v>
      </c>
      <c r="F96" t="str">
        <f t="shared" si="10"/>
        <v>0000</v>
      </c>
    </row>
    <row r="97" spans="1:6">
      <c r="A97" t="str">
        <f>"T875-1"</f>
        <v>T875-1</v>
      </c>
      <c r="B97" t="str">
        <f>"SALITA DI OREGINA VICINO AL 40-"</f>
        <v>SALITA DI OREGINA VICINO AL 40-</v>
      </c>
      <c r="C97" t="str">
        <f t="shared" si="9"/>
        <v>1</v>
      </c>
      <c r="D97">
        <v>12</v>
      </c>
      <c r="E97" t="str">
        <f>"109"</f>
        <v>109</v>
      </c>
      <c r="F97" t="str">
        <f t="shared" si="10"/>
        <v>0000</v>
      </c>
    </row>
    <row r="98" spans="1:6">
      <c r="A98" t="str">
        <f>"T876-1"</f>
        <v>T876-1</v>
      </c>
      <c r="B98" t="str">
        <f>"SALITA DI OREGINA VICINO AL 40-"</f>
        <v>SALITA DI OREGINA VICINO AL 40-</v>
      </c>
      <c r="C98" t="str">
        <f t="shared" ref="C98:C129" si="12">"1"</f>
        <v>1</v>
      </c>
      <c r="D98">
        <v>12</v>
      </c>
      <c r="E98" t="str">
        <f>"58"</f>
        <v>58</v>
      </c>
      <c r="F98" t="str">
        <f t="shared" si="10"/>
        <v>0000</v>
      </c>
    </row>
    <row r="99" spans="1:6">
      <c r="A99" t="str">
        <f>"T877-1"</f>
        <v>T877-1</v>
      </c>
      <c r="B99" t="str">
        <f>"SALITA DI OREGINA VICINO AL 40-"</f>
        <v>SALITA DI OREGINA VICINO AL 40-</v>
      </c>
      <c r="C99" t="str">
        <f t="shared" si="12"/>
        <v>1</v>
      </c>
      <c r="D99">
        <v>12</v>
      </c>
      <c r="E99" t="str">
        <f>"58"</f>
        <v>58</v>
      </c>
      <c r="F99" t="str">
        <f t="shared" si="10"/>
        <v>0000</v>
      </c>
    </row>
    <row r="100" spans="1:6">
      <c r="A100" t="str">
        <f>"T881-1"</f>
        <v>T881-1</v>
      </c>
      <c r="B100" t="str">
        <f>"VIA DODICI OTTOBRE VICINO AL 12-"</f>
        <v>VIA DODICI OTTOBRE VICINO AL 12-</v>
      </c>
      <c r="C100" t="str">
        <f t="shared" si="12"/>
        <v>1</v>
      </c>
      <c r="D100">
        <v>68</v>
      </c>
      <c r="E100" t="str">
        <f>"1138"</f>
        <v>1138</v>
      </c>
      <c r="F100" t="str">
        <f t="shared" si="10"/>
        <v>0000</v>
      </c>
    </row>
    <row r="101" spans="1:6">
      <c r="A101" t="str">
        <f>"T885-1"</f>
        <v>T885-1</v>
      </c>
      <c r="B101" t="str">
        <f>"VIA VESUVIO VICINO AL 52-"</f>
        <v>VIA VESUVIO VICINO AL 52-</v>
      </c>
      <c r="C101" t="str">
        <f t="shared" si="12"/>
        <v>1</v>
      </c>
      <c r="D101">
        <v>6</v>
      </c>
      <c r="E101" t="str">
        <f>"334"</f>
        <v>334</v>
      </c>
      <c r="F101" t="str">
        <f t="shared" si="10"/>
        <v>0000</v>
      </c>
    </row>
    <row r="102" spans="1:6">
      <c r="A102" t="str">
        <f>"T886-1"</f>
        <v>T886-1</v>
      </c>
      <c r="B102" t="str">
        <f t="shared" ref="B102:B130" si="13">"VIA BARTOLOMEO BIANCO  2B-"</f>
        <v>VIA BARTOLOMEO BIANCO  2B-</v>
      </c>
      <c r="C102" t="str">
        <f t="shared" si="12"/>
        <v>1</v>
      </c>
      <c r="D102">
        <v>6</v>
      </c>
      <c r="E102" t="str">
        <f>"321"</f>
        <v>321</v>
      </c>
      <c r="F102" t="str">
        <f t="shared" si="10"/>
        <v>0000</v>
      </c>
    </row>
    <row r="103" spans="1:6">
      <c r="A103" t="str">
        <f>"T886-2"</f>
        <v>T886-2</v>
      </c>
      <c r="B103" t="str">
        <f t="shared" si="13"/>
        <v>VIA BARTOLOMEO BIANCO  2B-</v>
      </c>
      <c r="C103" t="str">
        <f t="shared" si="12"/>
        <v>1</v>
      </c>
      <c r="D103">
        <v>6</v>
      </c>
      <c r="E103" t="str">
        <f>"680"</f>
        <v>680</v>
      </c>
      <c r="F103" t="str">
        <f>"000"</f>
        <v>000</v>
      </c>
    </row>
    <row r="104" spans="1:6">
      <c r="A104" t="str">
        <f>"T886-3"</f>
        <v>T886-3</v>
      </c>
      <c r="B104" t="str">
        <f t="shared" si="13"/>
        <v>VIA BARTOLOMEO BIANCO  2B-</v>
      </c>
      <c r="C104" t="str">
        <f t="shared" si="12"/>
        <v>1</v>
      </c>
      <c r="D104">
        <v>6</v>
      </c>
      <c r="E104" t="str">
        <f>"678"</f>
        <v>678</v>
      </c>
      <c r="F104" t="str">
        <f t="shared" ref="F104:F124" si="14">"0000"</f>
        <v>0000</v>
      </c>
    </row>
    <row r="105" spans="1:6">
      <c r="A105" t="str">
        <f>"T886-4"</f>
        <v>T886-4</v>
      </c>
      <c r="B105" t="str">
        <f t="shared" si="13"/>
        <v>VIA BARTOLOMEO BIANCO  2B-</v>
      </c>
      <c r="C105" t="str">
        <f t="shared" si="12"/>
        <v>1</v>
      </c>
      <c r="D105">
        <v>6</v>
      </c>
      <c r="E105" t="str">
        <f>"67"</f>
        <v>67</v>
      </c>
      <c r="F105" t="str">
        <f t="shared" si="14"/>
        <v>0000</v>
      </c>
    </row>
    <row r="106" spans="1:6">
      <c r="A106" t="str">
        <f>"T886-5"</f>
        <v>T886-5</v>
      </c>
      <c r="B106" t="str">
        <f t="shared" si="13"/>
        <v>VIA BARTOLOMEO BIANCO  2B-</v>
      </c>
      <c r="C106" t="str">
        <f t="shared" si="12"/>
        <v>1</v>
      </c>
      <c r="D106">
        <v>6</v>
      </c>
      <c r="E106" t="str">
        <f>"139"</f>
        <v>139</v>
      </c>
      <c r="F106" t="str">
        <f t="shared" si="14"/>
        <v>0000</v>
      </c>
    </row>
    <row r="107" spans="1:6">
      <c r="A107" t="str">
        <f>"T886-6"</f>
        <v>T886-6</v>
      </c>
      <c r="B107" t="str">
        <f t="shared" si="13"/>
        <v>VIA BARTOLOMEO BIANCO  2B-</v>
      </c>
      <c r="C107" t="str">
        <f t="shared" si="12"/>
        <v>1</v>
      </c>
      <c r="D107">
        <v>6</v>
      </c>
      <c r="E107" t="str">
        <f>"140"</f>
        <v>140</v>
      </c>
      <c r="F107" t="str">
        <f t="shared" si="14"/>
        <v>0000</v>
      </c>
    </row>
    <row r="108" spans="1:6">
      <c r="A108" t="str">
        <f>"T886-7"</f>
        <v>T886-7</v>
      </c>
      <c r="B108" t="str">
        <f t="shared" si="13"/>
        <v>VIA BARTOLOMEO BIANCO  2B-</v>
      </c>
      <c r="C108" t="str">
        <f t="shared" si="12"/>
        <v>1</v>
      </c>
      <c r="D108">
        <v>6</v>
      </c>
      <c r="E108" t="str">
        <f>"683"</f>
        <v>683</v>
      </c>
      <c r="F108" t="str">
        <f t="shared" si="14"/>
        <v>0000</v>
      </c>
    </row>
    <row r="109" spans="1:6">
      <c r="A109" t="str">
        <f>"T886-8"</f>
        <v>T886-8</v>
      </c>
      <c r="B109" t="str">
        <f t="shared" si="13"/>
        <v>VIA BARTOLOMEO BIANCO  2B-</v>
      </c>
      <c r="C109" t="str">
        <f t="shared" si="12"/>
        <v>1</v>
      </c>
      <c r="D109">
        <v>6</v>
      </c>
      <c r="E109" t="str">
        <f>"322"</f>
        <v>322</v>
      </c>
      <c r="F109" t="str">
        <f t="shared" si="14"/>
        <v>0000</v>
      </c>
    </row>
    <row r="110" spans="1:6">
      <c r="A110" t="str">
        <f>"T886-9"</f>
        <v>T886-9</v>
      </c>
      <c r="B110" t="str">
        <f t="shared" si="13"/>
        <v>VIA BARTOLOMEO BIANCO  2B-</v>
      </c>
      <c r="C110" t="str">
        <f t="shared" si="12"/>
        <v>1</v>
      </c>
      <c r="D110">
        <v>6</v>
      </c>
      <c r="E110" t="str">
        <f>"99999"</f>
        <v>99999</v>
      </c>
      <c r="F110" t="str">
        <f t="shared" si="14"/>
        <v>0000</v>
      </c>
    </row>
    <row r="111" spans="1:6">
      <c r="A111" t="str">
        <f>"T886-10"</f>
        <v>T886-10</v>
      </c>
      <c r="B111" t="str">
        <f t="shared" si="13"/>
        <v>VIA BARTOLOMEO BIANCO  2B-</v>
      </c>
      <c r="C111" t="str">
        <f t="shared" si="12"/>
        <v>1</v>
      </c>
      <c r="D111">
        <v>6</v>
      </c>
      <c r="E111" t="str">
        <f>"99999"</f>
        <v>99999</v>
      </c>
      <c r="F111" t="str">
        <f t="shared" si="14"/>
        <v>0000</v>
      </c>
    </row>
    <row r="112" spans="1:6">
      <c r="A112" t="str">
        <f>"T886-11"</f>
        <v>T886-11</v>
      </c>
      <c r="B112" t="str">
        <f t="shared" si="13"/>
        <v>VIA BARTOLOMEO BIANCO  2B-</v>
      </c>
      <c r="C112" t="str">
        <f t="shared" si="12"/>
        <v>1</v>
      </c>
      <c r="D112">
        <v>6</v>
      </c>
      <c r="E112" t="str">
        <f>"99999"</f>
        <v>99999</v>
      </c>
      <c r="F112" t="str">
        <f t="shared" si="14"/>
        <v>0000</v>
      </c>
    </row>
    <row r="113" spans="1:6">
      <c r="A113" t="str">
        <f>"T886-12"</f>
        <v>T886-12</v>
      </c>
      <c r="B113" t="str">
        <f t="shared" si="13"/>
        <v>VIA BARTOLOMEO BIANCO  2B-</v>
      </c>
      <c r="C113" t="str">
        <f t="shared" si="12"/>
        <v>1</v>
      </c>
      <c r="D113">
        <v>6</v>
      </c>
      <c r="E113" t="str">
        <f>"124"</f>
        <v>124</v>
      </c>
      <c r="F113" t="str">
        <f t="shared" si="14"/>
        <v>0000</v>
      </c>
    </row>
    <row r="114" spans="1:6">
      <c r="A114" t="str">
        <f>"T886-13"</f>
        <v>T886-13</v>
      </c>
      <c r="B114" t="str">
        <f t="shared" si="13"/>
        <v>VIA BARTOLOMEO BIANCO  2B-</v>
      </c>
      <c r="C114" t="str">
        <f t="shared" si="12"/>
        <v>1</v>
      </c>
      <c r="D114">
        <v>6</v>
      </c>
      <c r="E114" t="str">
        <f>"57"</f>
        <v>57</v>
      </c>
      <c r="F114" t="str">
        <f t="shared" si="14"/>
        <v>0000</v>
      </c>
    </row>
    <row r="115" spans="1:6">
      <c r="A115" t="str">
        <f>"T886-14"</f>
        <v>T886-14</v>
      </c>
      <c r="B115" t="str">
        <f t="shared" si="13"/>
        <v>VIA BARTOLOMEO BIANCO  2B-</v>
      </c>
      <c r="C115" t="str">
        <f t="shared" si="12"/>
        <v>1</v>
      </c>
      <c r="D115">
        <v>6</v>
      </c>
      <c r="E115" t="str">
        <f>"591"</f>
        <v>591</v>
      </c>
      <c r="F115" t="str">
        <f t="shared" si="14"/>
        <v>0000</v>
      </c>
    </row>
    <row r="116" spans="1:6">
      <c r="A116" t="str">
        <f>"T886-15"</f>
        <v>T886-15</v>
      </c>
      <c r="B116" t="str">
        <f t="shared" si="13"/>
        <v>VIA BARTOLOMEO BIANCO  2B-</v>
      </c>
      <c r="C116" t="str">
        <f t="shared" si="12"/>
        <v>1</v>
      </c>
      <c r="D116">
        <v>6</v>
      </c>
      <c r="E116" t="str">
        <f>"179"</f>
        <v>179</v>
      </c>
      <c r="F116" t="str">
        <f t="shared" si="14"/>
        <v>0000</v>
      </c>
    </row>
    <row r="117" spans="1:6">
      <c r="A117" t="str">
        <f>"T886-16"</f>
        <v>T886-16</v>
      </c>
      <c r="B117" t="str">
        <f t="shared" si="13"/>
        <v>VIA BARTOLOMEO BIANCO  2B-</v>
      </c>
      <c r="C117" t="str">
        <f t="shared" si="12"/>
        <v>1</v>
      </c>
      <c r="D117">
        <v>6</v>
      </c>
      <c r="E117" t="str">
        <f>"56"</f>
        <v>56</v>
      </c>
      <c r="F117" t="str">
        <f t="shared" si="14"/>
        <v>0000</v>
      </c>
    </row>
    <row r="118" spans="1:6">
      <c r="A118" t="str">
        <f>"T886-17"</f>
        <v>T886-17</v>
      </c>
      <c r="B118" t="str">
        <f t="shared" si="13"/>
        <v>VIA BARTOLOMEO BIANCO  2B-</v>
      </c>
      <c r="C118" t="str">
        <f t="shared" si="12"/>
        <v>1</v>
      </c>
      <c r="D118">
        <v>6</v>
      </c>
      <c r="E118" t="str">
        <f>"340"</f>
        <v>340</v>
      </c>
      <c r="F118" t="str">
        <f t="shared" si="14"/>
        <v>0000</v>
      </c>
    </row>
    <row r="119" spans="1:6">
      <c r="A119" t="str">
        <f>"T886-18"</f>
        <v>T886-18</v>
      </c>
      <c r="B119" t="str">
        <f t="shared" si="13"/>
        <v>VIA BARTOLOMEO BIANCO  2B-</v>
      </c>
      <c r="C119" t="str">
        <f t="shared" si="12"/>
        <v>1</v>
      </c>
      <c r="D119">
        <v>6</v>
      </c>
      <c r="E119" t="str">
        <f>"324"</f>
        <v>324</v>
      </c>
      <c r="F119" t="str">
        <f t="shared" si="14"/>
        <v>0000</v>
      </c>
    </row>
    <row r="120" spans="1:6">
      <c r="A120" t="str">
        <f>"T886-19"</f>
        <v>T886-19</v>
      </c>
      <c r="B120" t="str">
        <f t="shared" si="13"/>
        <v>VIA BARTOLOMEO BIANCO  2B-</v>
      </c>
      <c r="C120" t="str">
        <f t="shared" si="12"/>
        <v>1</v>
      </c>
      <c r="D120">
        <v>6</v>
      </c>
      <c r="E120" t="str">
        <f>"325"</f>
        <v>325</v>
      </c>
      <c r="F120" t="str">
        <f t="shared" si="14"/>
        <v>0000</v>
      </c>
    </row>
    <row r="121" spans="1:6">
      <c r="A121" t="str">
        <f>"T886-20"</f>
        <v>T886-20</v>
      </c>
      <c r="B121" t="str">
        <f t="shared" si="13"/>
        <v>VIA BARTOLOMEO BIANCO  2B-</v>
      </c>
      <c r="C121" t="str">
        <f t="shared" si="12"/>
        <v>1</v>
      </c>
      <c r="D121">
        <v>6</v>
      </c>
      <c r="E121" t="str">
        <f>"323"</f>
        <v>323</v>
      </c>
      <c r="F121" t="str">
        <f t="shared" si="14"/>
        <v>0000</v>
      </c>
    </row>
    <row r="122" spans="1:6">
      <c r="A122" t="str">
        <f>"T886-21"</f>
        <v>T886-21</v>
      </c>
      <c r="B122" t="str">
        <f t="shared" si="13"/>
        <v>VIA BARTOLOMEO BIANCO  2B-</v>
      </c>
      <c r="C122" t="str">
        <f t="shared" si="12"/>
        <v>1</v>
      </c>
      <c r="D122">
        <v>6</v>
      </c>
      <c r="E122" t="str">
        <f>"327"</f>
        <v>327</v>
      </c>
      <c r="F122" t="str">
        <f t="shared" si="14"/>
        <v>0000</v>
      </c>
    </row>
    <row r="123" spans="1:6">
      <c r="A123" t="str">
        <f>"T886-22"</f>
        <v>T886-22</v>
      </c>
      <c r="B123" t="str">
        <f t="shared" si="13"/>
        <v>VIA BARTOLOMEO BIANCO  2B-</v>
      </c>
      <c r="C123" t="str">
        <f t="shared" si="12"/>
        <v>1</v>
      </c>
      <c r="D123">
        <v>6</v>
      </c>
      <c r="E123" t="str">
        <f>"341"</f>
        <v>341</v>
      </c>
      <c r="F123" t="str">
        <f t="shared" si="14"/>
        <v>0000</v>
      </c>
    </row>
    <row r="124" spans="1:6">
      <c r="A124" t="str">
        <f>"T886-23"</f>
        <v>T886-23</v>
      </c>
      <c r="B124" t="str">
        <f t="shared" si="13"/>
        <v>VIA BARTOLOMEO BIANCO  2B-</v>
      </c>
      <c r="C124" t="str">
        <f t="shared" si="12"/>
        <v>1</v>
      </c>
      <c r="D124">
        <v>6</v>
      </c>
      <c r="E124" t="str">
        <f>"281"</f>
        <v>281</v>
      </c>
      <c r="F124" t="str">
        <f t="shared" si="14"/>
        <v>0000</v>
      </c>
    </row>
    <row r="125" spans="1:6">
      <c r="A125" t="str">
        <f>"T886-24"</f>
        <v>T886-24</v>
      </c>
      <c r="B125" t="str">
        <f t="shared" si="13"/>
        <v>VIA BARTOLOMEO BIANCO  2B-</v>
      </c>
      <c r="C125" t="str">
        <f t="shared" si="12"/>
        <v>1</v>
      </c>
      <c r="D125">
        <v>6</v>
      </c>
      <c r="E125" t="str">
        <f>"123"</f>
        <v>123</v>
      </c>
      <c r="F125" t="str">
        <f>"0"</f>
        <v>0</v>
      </c>
    </row>
    <row r="126" spans="1:6">
      <c r="A126" t="str">
        <f>"T886-25"</f>
        <v>T886-25</v>
      </c>
      <c r="B126" t="str">
        <f t="shared" si="13"/>
        <v>VIA BARTOLOMEO BIANCO  2B-</v>
      </c>
      <c r="C126" t="str">
        <f t="shared" si="12"/>
        <v>1</v>
      </c>
      <c r="D126">
        <v>6</v>
      </c>
      <c r="E126" t="str">
        <f>"122"</f>
        <v>122</v>
      </c>
      <c r="F126" t="str">
        <f t="shared" ref="F126:F157" si="15">"0000"</f>
        <v>0000</v>
      </c>
    </row>
    <row r="127" spans="1:6">
      <c r="A127" t="str">
        <f>"T886-26"</f>
        <v>T886-26</v>
      </c>
      <c r="B127" t="str">
        <f t="shared" si="13"/>
        <v>VIA BARTOLOMEO BIANCO  2B-</v>
      </c>
      <c r="C127" t="str">
        <f t="shared" si="12"/>
        <v>1</v>
      </c>
      <c r="D127">
        <v>6</v>
      </c>
      <c r="E127" t="str">
        <f>"333"</f>
        <v>333</v>
      </c>
      <c r="F127" t="str">
        <f t="shared" si="15"/>
        <v>0000</v>
      </c>
    </row>
    <row r="128" spans="1:6">
      <c r="A128" t="str">
        <f>"T886-27"</f>
        <v>T886-27</v>
      </c>
      <c r="B128" t="str">
        <f t="shared" si="13"/>
        <v>VIA BARTOLOMEO BIANCO  2B-</v>
      </c>
      <c r="C128" t="str">
        <f t="shared" si="12"/>
        <v>1</v>
      </c>
      <c r="D128">
        <v>6</v>
      </c>
      <c r="E128" t="str">
        <f>"677"</f>
        <v>677</v>
      </c>
      <c r="F128" t="str">
        <f t="shared" si="15"/>
        <v>0000</v>
      </c>
    </row>
    <row r="129" spans="1:6">
      <c r="A129" t="str">
        <f>"T886-28"</f>
        <v>T886-28</v>
      </c>
      <c r="B129" t="str">
        <f t="shared" si="13"/>
        <v>VIA BARTOLOMEO BIANCO  2B-</v>
      </c>
      <c r="C129" t="str">
        <f t="shared" si="12"/>
        <v>1</v>
      </c>
      <c r="D129">
        <v>6</v>
      </c>
      <c r="E129" t="str">
        <f>"320"</f>
        <v>320</v>
      </c>
      <c r="F129" t="str">
        <f t="shared" si="15"/>
        <v>0000</v>
      </c>
    </row>
    <row r="130" spans="1:6">
      <c r="A130" t="str">
        <f>"T886-29"</f>
        <v>T886-29</v>
      </c>
      <c r="B130" t="str">
        <f t="shared" si="13"/>
        <v>VIA BARTOLOMEO BIANCO  2B-</v>
      </c>
      <c r="C130" t="str">
        <f t="shared" ref="C130:C161" si="16">"1"</f>
        <v>1</v>
      </c>
      <c r="D130">
        <v>6</v>
      </c>
      <c r="E130" t="str">
        <f>"676"</f>
        <v>676</v>
      </c>
      <c r="F130" t="str">
        <f t="shared" si="15"/>
        <v>0000</v>
      </c>
    </row>
    <row r="131" spans="1:6">
      <c r="A131" t="str">
        <f>"T887-1"</f>
        <v>T887-1</v>
      </c>
      <c r="B131" t="str">
        <f>"VIA BARTOLOMEO BIANCO VICINO AL 10-"</f>
        <v>VIA BARTOLOMEO BIANCO VICINO AL 10-</v>
      </c>
      <c r="C131" t="str">
        <f t="shared" si="16"/>
        <v>1</v>
      </c>
      <c r="D131">
        <v>11</v>
      </c>
      <c r="E131" t="str">
        <f>"83"</f>
        <v>83</v>
      </c>
      <c r="F131" t="str">
        <f t="shared" si="15"/>
        <v>0000</v>
      </c>
    </row>
    <row r="132" spans="1:6">
      <c r="A132" t="str">
        <f>"T887-2"</f>
        <v>T887-2</v>
      </c>
      <c r="B132" t="str">
        <f>"VIA BARTOLOMEO BIANCO VICINO AL 10-"</f>
        <v>VIA BARTOLOMEO BIANCO VICINO AL 10-</v>
      </c>
      <c r="C132" t="str">
        <f t="shared" si="16"/>
        <v>1</v>
      </c>
      <c r="D132">
        <v>11</v>
      </c>
      <c r="E132" t="str">
        <f>"401"</f>
        <v>401</v>
      </c>
      <c r="F132" t="str">
        <f t="shared" si="15"/>
        <v>0000</v>
      </c>
    </row>
    <row r="133" spans="1:6">
      <c r="A133" t="str">
        <f>"T888-1"</f>
        <v>T888-1</v>
      </c>
      <c r="B133" t="str">
        <f>"VIA BARTOLOMEO BIANCO VICINO AL 10-"</f>
        <v>VIA BARTOLOMEO BIANCO VICINO AL 10-</v>
      </c>
      <c r="C133" t="str">
        <f t="shared" si="16"/>
        <v>1</v>
      </c>
      <c r="D133">
        <v>11</v>
      </c>
      <c r="E133" t="str">
        <f>"83"</f>
        <v>83</v>
      </c>
      <c r="F133" t="str">
        <f t="shared" si="15"/>
        <v>0000</v>
      </c>
    </row>
    <row r="134" spans="1:6">
      <c r="A134" t="str">
        <f>"T888-2"</f>
        <v>T888-2</v>
      </c>
      <c r="B134" t="str">
        <f>"VIA BARTOLOMEO BIANCO VICINO AL 10-"</f>
        <v>VIA BARTOLOMEO BIANCO VICINO AL 10-</v>
      </c>
      <c r="C134" t="str">
        <f t="shared" si="16"/>
        <v>1</v>
      </c>
      <c r="D134">
        <v>11</v>
      </c>
      <c r="E134" t="str">
        <f>"250"</f>
        <v>250</v>
      </c>
      <c r="F134" t="str">
        <f t="shared" si="15"/>
        <v>0000</v>
      </c>
    </row>
    <row r="135" spans="1:6">
      <c r="A135" t="str">
        <f>"T888-3"</f>
        <v>T888-3</v>
      </c>
      <c r="B135" t="str">
        <f>"VIA BARTOLOMEO BIANCO VICINO AL 10-"</f>
        <v>VIA BARTOLOMEO BIANCO VICINO AL 10-</v>
      </c>
      <c r="C135" t="str">
        <f t="shared" si="16"/>
        <v>1</v>
      </c>
      <c r="D135">
        <v>11</v>
      </c>
      <c r="E135" t="str">
        <f>"401"</f>
        <v>401</v>
      </c>
      <c r="F135" t="str">
        <f t="shared" si="15"/>
        <v>0000</v>
      </c>
    </row>
    <row r="136" spans="1:6">
      <c r="A136" t="str">
        <f>"T889-1"</f>
        <v>T889-1</v>
      </c>
      <c r="B136" t="str">
        <f>"VIA NAPOLI VICINO AL 78-"</f>
        <v>VIA NAPOLI VICINO AL 78-</v>
      </c>
      <c r="C136" t="str">
        <f t="shared" si="16"/>
        <v>1</v>
      </c>
      <c r="D136">
        <v>11</v>
      </c>
      <c r="E136" t="str">
        <f>"255"</f>
        <v>255</v>
      </c>
      <c r="F136" t="str">
        <f t="shared" si="15"/>
        <v>0000</v>
      </c>
    </row>
    <row r="137" spans="1:6">
      <c r="A137" t="str">
        <f>"T890-1"</f>
        <v>T890-1</v>
      </c>
      <c r="B137" t="str">
        <f>"CORSO UGO BASSI VICINO AL 58-"</f>
        <v>CORSO UGO BASSI VICINO AL 58-</v>
      </c>
      <c r="C137" t="str">
        <f t="shared" si="16"/>
        <v>1</v>
      </c>
      <c r="D137">
        <v>32</v>
      </c>
      <c r="E137" t="str">
        <f>"853"</f>
        <v>853</v>
      </c>
      <c r="F137" t="str">
        <f t="shared" si="15"/>
        <v>0000</v>
      </c>
    </row>
    <row r="138" spans="1:6">
      <c r="A138" t="str">
        <f>"T891-1"</f>
        <v>T891-1</v>
      </c>
      <c r="B138" t="str">
        <f>"VIA DELLA MARINA VICINO AL 5R-"</f>
        <v>VIA DELLA MARINA VICINO AL 5R-</v>
      </c>
      <c r="C138" t="str">
        <f t="shared" si="16"/>
        <v>1</v>
      </c>
      <c r="D138">
        <v>67</v>
      </c>
      <c r="E138" t="str">
        <f>"676"</f>
        <v>676</v>
      </c>
      <c r="F138" t="str">
        <f t="shared" si="15"/>
        <v>0000</v>
      </c>
    </row>
    <row r="139" spans="1:6">
      <c r="A139" t="str">
        <f>"T892-1"</f>
        <v>T892-1</v>
      </c>
      <c r="B139" t="str">
        <f>"VIA DELLA MARINA VICINO AL 5R-"</f>
        <v>VIA DELLA MARINA VICINO AL 5R-</v>
      </c>
      <c r="C139" t="str">
        <f t="shared" si="16"/>
        <v>1</v>
      </c>
      <c r="D139">
        <v>67</v>
      </c>
      <c r="E139" t="str">
        <f>"675"</f>
        <v>675</v>
      </c>
      <c r="F139" t="str">
        <f t="shared" si="15"/>
        <v>0000</v>
      </c>
    </row>
    <row r="140" spans="1:6">
      <c r="A140" t="str">
        <f>"T892-2"</f>
        <v>T892-2</v>
      </c>
      <c r="B140" t="str">
        <f>"VIA DELLA MARINA VICINO AL 5R-"</f>
        <v>VIA DELLA MARINA VICINO AL 5R-</v>
      </c>
      <c r="C140" t="str">
        <f t="shared" si="16"/>
        <v>1</v>
      </c>
      <c r="D140">
        <v>67</v>
      </c>
      <c r="E140" t="str">
        <f>"676"</f>
        <v>676</v>
      </c>
      <c r="F140" t="str">
        <f t="shared" si="15"/>
        <v>0000</v>
      </c>
    </row>
    <row r="141" spans="1:6">
      <c r="A141" t="str">
        <f>"T893-1"</f>
        <v>T893-1</v>
      </c>
      <c r="B141" t="str">
        <f>"VIA ASSAROTTI VICINO AL 11-"</f>
        <v>VIA ASSAROTTI VICINO AL 11-</v>
      </c>
      <c r="C141" t="str">
        <f t="shared" si="16"/>
        <v>1</v>
      </c>
      <c r="D141">
        <v>47</v>
      </c>
      <c r="E141" t="str">
        <f>"488"</f>
        <v>488</v>
      </c>
      <c r="F141" t="str">
        <f t="shared" si="15"/>
        <v>0000</v>
      </c>
    </row>
    <row r="142" spans="1:6">
      <c r="A142" t="str">
        <f>"T894-1"</f>
        <v>T894-1</v>
      </c>
      <c r="B142" t="str">
        <f>"VIA VESUVIO VICINO AL 20-"</f>
        <v>VIA VESUVIO VICINO AL 20-</v>
      </c>
      <c r="C142" t="str">
        <f t="shared" si="16"/>
        <v>1</v>
      </c>
      <c r="D142">
        <v>6</v>
      </c>
      <c r="E142" t="str">
        <f>"587"</f>
        <v>587</v>
      </c>
      <c r="F142" t="str">
        <f t="shared" si="15"/>
        <v>0000</v>
      </c>
    </row>
    <row r="143" spans="1:6">
      <c r="A143" t="str">
        <f>"T896-1"</f>
        <v>T896-1</v>
      </c>
      <c r="B143" t="str">
        <f>"FOSSATO DI SAN NICOLO VICINO AL 13-"</f>
        <v>FOSSATO DI SAN NICOLO VICINO AL 13-</v>
      </c>
      <c r="C143" t="str">
        <f t="shared" si="16"/>
        <v>1</v>
      </c>
      <c r="D143">
        <v>17</v>
      </c>
      <c r="E143" t="str">
        <f>"1"</f>
        <v>1</v>
      </c>
      <c r="F143" t="str">
        <f t="shared" si="15"/>
        <v>0000</v>
      </c>
    </row>
    <row r="144" spans="1:6">
      <c r="A144" t="str">
        <f>"T900-1"</f>
        <v>T900-1</v>
      </c>
      <c r="B144" t="str">
        <f>"PIAZZALE GIUSEPPE MAZZINI  3-"</f>
        <v>PIAZZALE GIUSEPPE MAZZINI  3-</v>
      </c>
      <c r="C144" t="str">
        <f t="shared" si="16"/>
        <v>1</v>
      </c>
      <c r="D144">
        <v>46</v>
      </c>
      <c r="E144" t="str">
        <f>"370"</f>
        <v>370</v>
      </c>
      <c r="F144" t="str">
        <f t="shared" si="15"/>
        <v>0000</v>
      </c>
    </row>
    <row r="145" spans="1:6">
      <c r="A145" t="str">
        <f>"T900-2"</f>
        <v>T900-2</v>
      </c>
      <c r="B145" t="str">
        <f>"PIAZZALE GIUSEPPE MAZZINI  3-"</f>
        <v>PIAZZALE GIUSEPPE MAZZINI  3-</v>
      </c>
      <c r="C145" t="str">
        <f t="shared" si="16"/>
        <v>1</v>
      </c>
      <c r="D145">
        <v>46</v>
      </c>
      <c r="E145" t="str">
        <f>"371"</f>
        <v>371</v>
      </c>
      <c r="F145" t="str">
        <f t="shared" si="15"/>
        <v>0000</v>
      </c>
    </row>
    <row r="146" spans="1:6">
      <c r="A146" t="str">
        <f>"T900-3"</f>
        <v>T900-3</v>
      </c>
      <c r="B146" t="str">
        <f>"PIAZZALE GIUSEPPE MAZZINI  3-"</f>
        <v>PIAZZALE GIUSEPPE MAZZINI  3-</v>
      </c>
      <c r="C146" t="str">
        <f t="shared" si="16"/>
        <v>1</v>
      </c>
      <c r="D146">
        <v>46</v>
      </c>
      <c r="E146" t="str">
        <f>"373"</f>
        <v>373</v>
      </c>
      <c r="F146" t="str">
        <f t="shared" si="15"/>
        <v>0000</v>
      </c>
    </row>
    <row r="147" spans="1:6">
      <c r="A147" t="str">
        <f>"T900-4"</f>
        <v>T900-4</v>
      </c>
      <c r="B147" t="str">
        <f>"PIAZZALE GIUSEPPE MAZZINI  3-"</f>
        <v>PIAZZALE GIUSEPPE MAZZINI  3-</v>
      </c>
      <c r="C147" t="str">
        <f t="shared" si="16"/>
        <v>1</v>
      </c>
      <c r="D147">
        <v>46</v>
      </c>
      <c r="E147" t="str">
        <f>"385"</f>
        <v>385</v>
      </c>
      <c r="F147" t="str">
        <f t="shared" si="15"/>
        <v>0000</v>
      </c>
    </row>
    <row r="148" spans="1:6">
      <c r="A148" t="str">
        <f>"T901-1"</f>
        <v>T901-1</v>
      </c>
      <c r="B148" t="str">
        <f>"VIA VINCENZO RICCI VICINO AL 8-"</f>
        <v>VIA VINCENZO RICCI VICINO AL 8-</v>
      </c>
      <c r="C148" t="str">
        <f t="shared" si="16"/>
        <v>1</v>
      </c>
      <c r="D148">
        <v>69</v>
      </c>
      <c r="E148" t="str">
        <f>"147"</f>
        <v>147</v>
      </c>
      <c r="F148" t="str">
        <f t="shared" si="15"/>
        <v>0000</v>
      </c>
    </row>
    <row r="149" spans="1:6">
      <c r="A149" t="str">
        <f>"T901-2"</f>
        <v>T901-2</v>
      </c>
      <c r="B149" t="str">
        <f>"VIA VINCENZO RICCI VICINO AL 8-"</f>
        <v>VIA VINCENZO RICCI VICINO AL 8-</v>
      </c>
      <c r="C149" t="str">
        <f t="shared" si="16"/>
        <v>1</v>
      </c>
      <c r="D149">
        <v>69</v>
      </c>
      <c r="E149" t="str">
        <f>"150"</f>
        <v>150</v>
      </c>
      <c r="F149" t="str">
        <f t="shared" si="15"/>
        <v>0000</v>
      </c>
    </row>
    <row r="150" spans="1:6">
      <c r="A150" t="str">
        <f>"T911-1"</f>
        <v>T911-1</v>
      </c>
      <c r="B150" t="str">
        <f>"SALITA DELLA TOSSE VICINO AL 11R-"</f>
        <v>SALITA DELLA TOSSE VICINO AL 11R-</v>
      </c>
      <c r="C150" t="str">
        <f t="shared" si="16"/>
        <v>1</v>
      </c>
      <c r="D150">
        <v>69</v>
      </c>
      <c r="E150" t="str">
        <f>"161"</f>
        <v>161</v>
      </c>
      <c r="F150" t="str">
        <f t="shared" si="15"/>
        <v>0000</v>
      </c>
    </row>
    <row r="151" spans="1:6">
      <c r="A151" t="str">
        <f>"T913-2"</f>
        <v>T913-2</v>
      </c>
      <c r="B151" t="str">
        <f>"VIA SAN GIACOMO E FILIPPO VICINO AL 15-"</f>
        <v>VIA SAN GIACOMO E FILIPPO VICINO AL 15-</v>
      </c>
      <c r="C151" t="str">
        <f t="shared" si="16"/>
        <v>1</v>
      </c>
      <c r="D151">
        <v>47</v>
      </c>
      <c r="E151" t="str">
        <f>"521"</f>
        <v>521</v>
      </c>
      <c r="F151" t="str">
        <f t="shared" si="15"/>
        <v>0000</v>
      </c>
    </row>
    <row r="152" spans="1:6">
      <c r="A152" t="str">
        <f>"T913-3"</f>
        <v>T913-3</v>
      </c>
      <c r="B152" t="str">
        <f>"VIA SAN GIACOMO E FILIPPO VICINO AL 15-"</f>
        <v>VIA SAN GIACOMO E FILIPPO VICINO AL 15-</v>
      </c>
      <c r="C152" t="str">
        <f t="shared" si="16"/>
        <v>1</v>
      </c>
      <c r="D152">
        <v>47</v>
      </c>
      <c r="E152" t="str">
        <f>"526"</f>
        <v>526</v>
      </c>
      <c r="F152" t="str">
        <f t="shared" si="15"/>
        <v>0000</v>
      </c>
    </row>
    <row r="153" spans="1:6">
      <c r="A153" t="str">
        <f>"T917-1"</f>
        <v>T917-1</v>
      </c>
      <c r="B153" t="str">
        <f>"VIA GINEVRA VICINO AL 33A-"</f>
        <v>VIA GINEVRA VICINO AL 33A-</v>
      </c>
      <c r="C153" t="str">
        <f t="shared" si="16"/>
        <v>1</v>
      </c>
      <c r="D153">
        <v>83</v>
      </c>
      <c r="E153" t="str">
        <f>"99999"</f>
        <v>99999</v>
      </c>
      <c r="F153" t="str">
        <f t="shared" si="15"/>
        <v>0000</v>
      </c>
    </row>
    <row r="154" spans="1:6">
      <c r="A154" t="str">
        <f>"T918-1"</f>
        <v>T918-1</v>
      </c>
      <c r="B154" t="str">
        <f>"VIA DOMENICO FIASELLA VICINO AL 17R-"</f>
        <v>VIA DOMENICO FIASELLA VICINO AL 17R-</v>
      </c>
      <c r="C154" t="str">
        <f t="shared" si="16"/>
        <v>1</v>
      </c>
      <c r="D154">
        <v>69</v>
      </c>
      <c r="E154" t="str">
        <f>"480"</f>
        <v>480</v>
      </c>
      <c r="F154" t="str">
        <f t="shared" si="15"/>
        <v>0000</v>
      </c>
    </row>
    <row r="155" spans="1:6">
      <c r="A155" t="str">
        <f>"T919-1"</f>
        <v>T919-1</v>
      </c>
      <c r="B155" t="str">
        <f>"VIA EUGENIA RAVASCO VICINO AL 12-"</f>
        <v>VIA EUGENIA RAVASCO VICINO AL 12-</v>
      </c>
      <c r="C155" t="str">
        <f t="shared" si="16"/>
        <v>1</v>
      </c>
      <c r="D155">
        <v>83</v>
      </c>
      <c r="E155" t="str">
        <f>"119"</f>
        <v>119</v>
      </c>
      <c r="F155" t="str">
        <f t="shared" si="15"/>
        <v>0000</v>
      </c>
    </row>
    <row r="156" spans="1:6">
      <c r="A156" t="str">
        <f>"T919-2"</f>
        <v>T919-2</v>
      </c>
      <c r="B156" t="str">
        <f>"VIA EUGENIA RAVASCO VICINO AL 12-"</f>
        <v>VIA EUGENIA RAVASCO VICINO AL 12-</v>
      </c>
      <c r="C156" t="str">
        <f t="shared" si="16"/>
        <v>1</v>
      </c>
      <c r="D156">
        <v>83</v>
      </c>
      <c r="E156" t="str">
        <f>"116"</f>
        <v>116</v>
      </c>
      <c r="F156" t="str">
        <f t="shared" si="15"/>
        <v>0000</v>
      </c>
    </row>
    <row r="157" spans="1:6">
      <c r="A157" t="str">
        <f>"T919-3"</f>
        <v>T919-3</v>
      </c>
      <c r="B157" t="str">
        <f>"VIA EUGENIA RAVASCO VICINO AL 12-"</f>
        <v>VIA EUGENIA RAVASCO VICINO AL 12-</v>
      </c>
      <c r="C157" t="str">
        <f t="shared" si="16"/>
        <v>1</v>
      </c>
      <c r="D157">
        <v>83</v>
      </c>
      <c r="E157" t="str">
        <f>"117"</f>
        <v>117</v>
      </c>
      <c r="F157" t="str">
        <f t="shared" si="15"/>
        <v>0000</v>
      </c>
    </row>
    <row r="158" spans="1:6">
      <c r="A158" t="str">
        <f>"T920-1"</f>
        <v>T920-1</v>
      </c>
      <c r="B158" t="str">
        <f>"PIAZZA RENATO NEGRI VICINO AL 4-"</f>
        <v>PIAZZA RENATO NEGRI VICINO AL 4-</v>
      </c>
      <c r="C158" t="str">
        <f t="shared" si="16"/>
        <v>1</v>
      </c>
      <c r="D158">
        <v>67</v>
      </c>
      <c r="E158" t="str">
        <f>"928"</f>
        <v>928</v>
      </c>
      <c r="F158" t="str">
        <f t="shared" ref="F158:F174" si="17">"0000"</f>
        <v>0000</v>
      </c>
    </row>
    <row r="159" spans="1:6">
      <c r="A159" t="str">
        <f>"T920-2"</f>
        <v>T920-2</v>
      </c>
      <c r="B159" t="str">
        <f>"PIAZZA RENATO NEGRI VICINO AL 4-"</f>
        <v>PIAZZA RENATO NEGRI VICINO AL 4-</v>
      </c>
      <c r="C159" t="str">
        <f t="shared" si="16"/>
        <v>1</v>
      </c>
      <c r="D159">
        <v>67</v>
      </c>
      <c r="E159" t="str">
        <f>"929"</f>
        <v>929</v>
      </c>
      <c r="F159" t="str">
        <f t="shared" si="17"/>
        <v>0000</v>
      </c>
    </row>
    <row r="160" spans="1:6">
      <c r="A160" t="str">
        <f>"T920-3"</f>
        <v>T920-3</v>
      </c>
      <c r="B160" t="str">
        <f>"PIAZZA RENATO NEGRI VICINO AL 4-"</f>
        <v>PIAZZA RENATO NEGRI VICINO AL 4-</v>
      </c>
      <c r="C160" t="str">
        <f t="shared" si="16"/>
        <v>1</v>
      </c>
      <c r="D160">
        <v>67</v>
      </c>
      <c r="E160" t="str">
        <f>"1146"</f>
        <v>1146</v>
      </c>
      <c r="F160" t="str">
        <f t="shared" si="17"/>
        <v>0000</v>
      </c>
    </row>
    <row r="161" spans="1:6">
      <c r="A161" t="str">
        <f>"T920-4"</f>
        <v>T920-4</v>
      </c>
      <c r="B161" t="str">
        <f>"PIAZZA RENATO NEGRI VICINO AL 4-"</f>
        <v>PIAZZA RENATO NEGRI VICINO AL 4-</v>
      </c>
      <c r="C161" t="str">
        <f t="shared" si="16"/>
        <v>1</v>
      </c>
      <c r="D161">
        <v>67</v>
      </c>
      <c r="E161" t="str">
        <f>"1147"</f>
        <v>1147</v>
      </c>
      <c r="F161" t="str">
        <f t="shared" si="17"/>
        <v>0000</v>
      </c>
    </row>
    <row r="162" spans="1:6">
      <c r="A162" t="str">
        <f>"T921-1"</f>
        <v>T921-1</v>
      </c>
      <c r="B162" t="str">
        <f>"VICO DEL TEATRO NAZIONALE VICINO AL 5-"</f>
        <v>VICO DEL TEATRO NAZIONALE VICINO AL 5-</v>
      </c>
      <c r="C162" t="str">
        <f t="shared" ref="C162:C174" si="18">"1"</f>
        <v>1</v>
      </c>
      <c r="D162">
        <v>67</v>
      </c>
      <c r="E162" t="str">
        <f>"1145"</f>
        <v>1145</v>
      </c>
      <c r="F162" t="str">
        <f t="shared" si="17"/>
        <v>0000</v>
      </c>
    </row>
    <row r="163" spans="1:6">
      <c r="A163" t="str">
        <f>"T922-3"</f>
        <v>T922-3</v>
      </c>
      <c r="B163" t="str">
        <f>"VIA NAPOLI VICINO AL 48-"</f>
        <v>VIA NAPOLI VICINO AL 48-</v>
      </c>
      <c r="C163" t="str">
        <f t="shared" si="18"/>
        <v>1</v>
      </c>
      <c r="D163">
        <v>12</v>
      </c>
      <c r="E163" t="str">
        <f>"1077"</f>
        <v>1077</v>
      </c>
      <c r="F163" t="str">
        <f t="shared" si="17"/>
        <v>0000</v>
      </c>
    </row>
    <row r="164" spans="1:6">
      <c r="A164" t="str">
        <f>"T922-4"</f>
        <v>T922-4</v>
      </c>
      <c r="B164" t="str">
        <f>"VIA NAPOLI VICINO AL 48-"</f>
        <v>VIA NAPOLI VICINO AL 48-</v>
      </c>
      <c r="C164" t="str">
        <f t="shared" si="18"/>
        <v>1</v>
      </c>
      <c r="D164">
        <v>12</v>
      </c>
      <c r="E164" t="str">
        <f>"1076"</f>
        <v>1076</v>
      </c>
      <c r="F164" t="str">
        <f t="shared" si="17"/>
        <v>0000</v>
      </c>
    </row>
    <row r="165" spans="1:6">
      <c r="A165" t="str">
        <f>"T923-1"</f>
        <v>T923-1</v>
      </c>
      <c r="B165" t="str">
        <f>"VIA CAFFARO VICINO AL 38-"</f>
        <v>VIA CAFFARO VICINO AL 38-</v>
      </c>
      <c r="C165" t="str">
        <f t="shared" si="18"/>
        <v>1</v>
      </c>
      <c r="D165">
        <v>46</v>
      </c>
      <c r="E165" t="str">
        <f>"1"</f>
        <v>1</v>
      </c>
      <c r="F165" t="str">
        <f t="shared" si="17"/>
        <v>0000</v>
      </c>
    </row>
    <row r="166" spans="1:6">
      <c r="A166" t="str">
        <f>"T924-1"</f>
        <v>T924-1</v>
      </c>
      <c r="B166" t="str">
        <f>"VIA ASSAROTTI VICINO AL 33-"</f>
        <v>VIA ASSAROTTI VICINO AL 33-</v>
      </c>
      <c r="C166" t="str">
        <f t="shared" si="18"/>
        <v>1</v>
      </c>
      <c r="D166">
        <v>47</v>
      </c>
      <c r="E166" t="str">
        <f>"207"</f>
        <v>207</v>
      </c>
      <c r="F166" t="str">
        <f t="shared" si="17"/>
        <v>0000</v>
      </c>
    </row>
    <row r="167" spans="1:6">
      <c r="A167" t="str">
        <f>"T934-1"</f>
        <v>T934-1</v>
      </c>
      <c r="B167" t="str">
        <f t="shared" ref="B167:B172" si="19">"VIA AMBROGIO SPINOLA VICINO AL 2-"</f>
        <v>VIA AMBROGIO SPINOLA VICINO AL 2-</v>
      </c>
      <c r="C167" t="str">
        <f t="shared" si="18"/>
        <v>1</v>
      </c>
      <c r="D167">
        <v>14</v>
      </c>
      <c r="E167" t="str">
        <f>"73"</f>
        <v>73</v>
      </c>
      <c r="F167" t="str">
        <f t="shared" si="17"/>
        <v>0000</v>
      </c>
    </row>
    <row r="168" spans="1:6">
      <c r="A168" t="str">
        <f>"T934-2"</f>
        <v>T934-2</v>
      </c>
      <c r="B168" t="str">
        <f t="shared" si="19"/>
        <v>VIA AMBROGIO SPINOLA VICINO AL 2-</v>
      </c>
      <c r="C168" t="str">
        <f t="shared" si="18"/>
        <v>1</v>
      </c>
      <c r="D168">
        <v>14</v>
      </c>
      <c r="E168" t="str">
        <f>"79"</f>
        <v>79</v>
      </c>
      <c r="F168" t="str">
        <f t="shared" si="17"/>
        <v>0000</v>
      </c>
    </row>
    <row r="169" spans="1:6">
      <c r="A169" t="str">
        <f>"T934-3"</f>
        <v>T934-3</v>
      </c>
      <c r="B169" t="str">
        <f t="shared" si="19"/>
        <v>VIA AMBROGIO SPINOLA VICINO AL 2-</v>
      </c>
      <c r="C169" t="str">
        <f t="shared" si="18"/>
        <v>1</v>
      </c>
      <c r="D169">
        <v>14</v>
      </c>
      <c r="E169" t="str">
        <f>"101"</f>
        <v>101</v>
      </c>
      <c r="F169" t="str">
        <f t="shared" si="17"/>
        <v>0000</v>
      </c>
    </row>
    <row r="170" spans="1:6">
      <c r="A170" t="str">
        <f>"T934-4"</f>
        <v>T934-4</v>
      </c>
      <c r="B170" t="str">
        <f t="shared" si="19"/>
        <v>VIA AMBROGIO SPINOLA VICINO AL 2-</v>
      </c>
      <c r="C170" t="str">
        <f t="shared" si="18"/>
        <v>1</v>
      </c>
      <c r="D170">
        <v>14</v>
      </c>
      <c r="E170" t="str">
        <f>"99999"</f>
        <v>99999</v>
      </c>
      <c r="F170" t="str">
        <f t="shared" si="17"/>
        <v>0000</v>
      </c>
    </row>
    <row r="171" spans="1:6">
      <c r="A171" t="str">
        <f>"T934-5"</f>
        <v>T934-5</v>
      </c>
      <c r="B171" t="str">
        <f t="shared" si="19"/>
        <v>VIA AMBROGIO SPINOLA VICINO AL 2-</v>
      </c>
      <c r="C171" t="str">
        <f t="shared" si="18"/>
        <v>1</v>
      </c>
      <c r="D171">
        <v>14</v>
      </c>
      <c r="E171" t="str">
        <f>"99999"</f>
        <v>99999</v>
      </c>
      <c r="F171" t="str">
        <f t="shared" si="17"/>
        <v>0000</v>
      </c>
    </row>
    <row r="172" spans="1:6">
      <c r="A172" t="str">
        <f>"T934-6"</f>
        <v>T934-6</v>
      </c>
      <c r="B172" t="str">
        <f t="shared" si="19"/>
        <v>VIA AMBROGIO SPINOLA VICINO AL 2-</v>
      </c>
      <c r="C172" t="str">
        <f t="shared" si="18"/>
        <v>1</v>
      </c>
      <c r="D172">
        <v>14</v>
      </c>
      <c r="E172" t="str">
        <f>"464"</f>
        <v>464</v>
      </c>
      <c r="F172" t="str">
        <f t="shared" si="17"/>
        <v>0000</v>
      </c>
    </row>
    <row r="173" spans="1:6">
      <c r="A173" t="str">
        <f>"T935-1"</f>
        <v>T935-1</v>
      </c>
      <c r="B173" t="str">
        <f>"PIAZZA DI SANTO STEFANO VICINO AL 2-"</f>
        <v>PIAZZA DI SANTO STEFANO VICINO AL 2-</v>
      </c>
      <c r="C173" t="str">
        <f t="shared" si="18"/>
        <v>1</v>
      </c>
      <c r="D173">
        <v>68</v>
      </c>
      <c r="E173" t="str">
        <f>"548"</f>
        <v>548</v>
      </c>
      <c r="F173" t="str">
        <f t="shared" si="17"/>
        <v>0000</v>
      </c>
    </row>
    <row r="174" spans="1:6">
      <c r="A174" t="str">
        <f>"T936-1"</f>
        <v>T936-1</v>
      </c>
      <c r="B174" t="str">
        <f>"VIA SAN VINCENZO VICINO AL 77-"</f>
        <v>VIA SAN VINCENZO VICINO AL 77-</v>
      </c>
      <c r="C174" t="str">
        <f t="shared" si="18"/>
        <v>1</v>
      </c>
      <c r="D174">
        <v>69</v>
      </c>
      <c r="E174" t="str">
        <f>"830"</f>
        <v>830</v>
      </c>
      <c r="F174" t="str">
        <f t="shared" si="17"/>
        <v>0000</v>
      </c>
    </row>
    <row r="175" spans="1:6">
      <c r="A175" t="str">
        <f>"T937-1"</f>
        <v>T937-1</v>
      </c>
      <c r="B175" t="str">
        <f>"VIA GALATA VICINO AL 6-"</f>
        <v>VIA GALATA VICINO AL 6-</v>
      </c>
      <c r="C175" t="str">
        <f>"GEA"</f>
        <v>GEA</v>
      </c>
      <c r="D175">
        <v>106</v>
      </c>
      <c r="E175" t="str">
        <f>"333"</f>
        <v>333</v>
      </c>
      <c r="F175" t="str">
        <f>"39"</f>
        <v>39</v>
      </c>
    </row>
    <row r="176" spans="1:6">
      <c r="A176" t="str">
        <f>"T937-1"</f>
        <v>T937-1</v>
      </c>
      <c r="B176" t="str">
        <f>"VIA GALATA VICINO AL 6-"</f>
        <v>VIA GALATA VICINO AL 6-</v>
      </c>
      <c r="C176" t="str">
        <f>"GEA"</f>
        <v>GEA</v>
      </c>
      <c r="D176">
        <v>106</v>
      </c>
      <c r="E176" t="str">
        <f>"330"</f>
        <v>330</v>
      </c>
      <c r="F176" t="str">
        <f t="shared" ref="F176:F203" si="20">"0000"</f>
        <v>0000</v>
      </c>
    </row>
    <row r="177" spans="1:6">
      <c r="A177" t="str">
        <f>"T939-1"</f>
        <v>T939-1</v>
      </c>
      <c r="B177" t="str">
        <f>"MURA DELLO ZERBINO VICINO AL 10-"</f>
        <v>MURA DELLO ZERBINO VICINO AL 10-</v>
      </c>
      <c r="C177" t="str">
        <f t="shared" ref="C177:C203" si="21">"1"</f>
        <v>1</v>
      </c>
      <c r="D177">
        <v>48</v>
      </c>
      <c r="E177" t="str">
        <f>"295"</f>
        <v>295</v>
      </c>
      <c r="F177" t="str">
        <f t="shared" si="20"/>
        <v>0000</v>
      </c>
    </row>
    <row r="178" spans="1:6">
      <c r="A178" t="str">
        <f>"T939-2"</f>
        <v>T939-2</v>
      </c>
      <c r="B178" t="str">
        <f>"MURA DELLO ZERBINO VICINO AL 10-"</f>
        <v>MURA DELLO ZERBINO VICINO AL 10-</v>
      </c>
      <c r="C178" t="str">
        <f t="shared" si="21"/>
        <v>1</v>
      </c>
      <c r="D178">
        <v>48</v>
      </c>
      <c r="E178" t="str">
        <f>"99999"</f>
        <v>99999</v>
      </c>
      <c r="F178" t="str">
        <f t="shared" si="20"/>
        <v>0000</v>
      </c>
    </row>
    <row r="179" spans="1:6">
      <c r="A179" t="str">
        <f>"T940-1"</f>
        <v>T940-1</v>
      </c>
      <c r="B179" t="str">
        <f>"VIA ANTONIO GRAMSCI VICINO AL 2-"</f>
        <v>VIA ANTONIO GRAMSCI VICINO AL 2-</v>
      </c>
      <c r="C179" t="str">
        <f t="shared" si="21"/>
        <v>1</v>
      </c>
      <c r="D179">
        <v>65</v>
      </c>
      <c r="E179" t="str">
        <f>"46"</f>
        <v>46</v>
      </c>
      <c r="F179" t="str">
        <f t="shared" si="20"/>
        <v>0000</v>
      </c>
    </row>
    <row r="180" spans="1:6">
      <c r="A180" t="str">
        <f>"T941-1"</f>
        <v>T941-1</v>
      </c>
      <c r="B180" t="str">
        <f>"VIA DI SAN DONATO VICINO AL 5-"</f>
        <v>VIA DI SAN DONATO VICINO AL 5-</v>
      </c>
      <c r="C180" t="str">
        <f t="shared" si="21"/>
        <v>1</v>
      </c>
      <c r="D180">
        <v>67</v>
      </c>
      <c r="E180" t="str">
        <f>"99999"</f>
        <v>99999</v>
      </c>
      <c r="F180" t="str">
        <f t="shared" si="20"/>
        <v>0000</v>
      </c>
    </row>
    <row r="181" spans="1:6">
      <c r="A181" t="str">
        <f>"T943-1"</f>
        <v>T943-1</v>
      </c>
      <c r="B181" t="str">
        <f>"CORSO DOGALI VICINO AL 1A-"</f>
        <v>CORSO DOGALI VICINO AL 1A-</v>
      </c>
      <c r="C181" t="str">
        <f t="shared" si="21"/>
        <v>1</v>
      </c>
      <c r="D181">
        <v>33</v>
      </c>
      <c r="E181" t="str">
        <f>"171"</f>
        <v>171</v>
      </c>
      <c r="F181" t="str">
        <f t="shared" si="20"/>
        <v>0000</v>
      </c>
    </row>
    <row r="182" spans="1:6">
      <c r="A182" t="str">
        <f>"T944-1"</f>
        <v>T944-1</v>
      </c>
      <c r="B182" t="str">
        <f>"CORSO FIRENZE VICINO AL 6-"</f>
        <v>CORSO FIRENZE VICINO AL 6-</v>
      </c>
      <c r="C182" t="str">
        <f t="shared" si="21"/>
        <v>1</v>
      </c>
      <c r="D182">
        <v>34</v>
      </c>
      <c r="E182" t="str">
        <f>"125"</f>
        <v>125</v>
      </c>
      <c r="F182" t="str">
        <f t="shared" si="20"/>
        <v>0000</v>
      </c>
    </row>
    <row r="183" spans="1:6">
      <c r="A183" t="str">
        <f>"T944-2"</f>
        <v>T944-2</v>
      </c>
      <c r="B183" t="str">
        <f>"CORSO FIRENZE VICINO AL 6-"</f>
        <v>CORSO FIRENZE VICINO AL 6-</v>
      </c>
      <c r="C183" t="str">
        <f t="shared" si="21"/>
        <v>1</v>
      </c>
      <c r="D183">
        <v>34</v>
      </c>
      <c r="E183" t="str">
        <f>"171"</f>
        <v>171</v>
      </c>
      <c r="F183" t="str">
        <f t="shared" si="20"/>
        <v>0000</v>
      </c>
    </row>
    <row r="184" spans="1:6">
      <c r="A184" t="str">
        <f>"T945-1"</f>
        <v>T945-1</v>
      </c>
      <c r="B184" t="str">
        <f>"SALITA DELLA PROVVIDENZA VICINO AL 2-"</f>
        <v>SALITA DELLA PROVVIDENZA VICINO AL 2-</v>
      </c>
      <c r="C184" t="str">
        <f t="shared" si="21"/>
        <v>1</v>
      </c>
      <c r="D184">
        <v>31</v>
      </c>
      <c r="E184" t="str">
        <f>"393"</f>
        <v>393</v>
      </c>
      <c r="F184" t="str">
        <f t="shared" si="20"/>
        <v>0000</v>
      </c>
    </row>
    <row r="185" spans="1:6">
      <c r="A185" t="str">
        <f>"T946-1"</f>
        <v>T946-1</v>
      </c>
      <c r="B185" t="str">
        <f>"VIA JACOPO RUFFINI VICINO AL 3-"</f>
        <v>VIA JACOPO RUFFINI VICINO AL 3-</v>
      </c>
      <c r="C185" t="str">
        <f t="shared" si="21"/>
        <v>1</v>
      </c>
      <c r="D185">
        <v>84</v>
      </c>
      <c r="E185" t="str">
        <f>"505"</f>
        <v>505</v>
      </c>
      <c r="F185" t="str">
        <f t="shared" si="20"/>
        <v>0000</v>
      </c>
    </row>
    <row r="186" spans="1:6">
      <c r="A186" t="str">
        <f>"T946-2"</f>
        <v>T946-2</v>
      </c>
      <c r="B186" t="str">
        <f>"VIA JACOPO RUFFINI VICINO AL 3-"</f>
        <v>VIA JACOPO RUFFINI VICINO AL 3-</v>
      </c>
      <c r="C186" t="str">
        <f t="shared" si="21"/>
        <v>1</v>
      </c>
      <c r="D186">
        <v>84</v>
      </c>
      <c r="E186" t="str">
        <f>"414"</f>
        <v>414</v>
      </c>
      <c r="F186" t="str">
        <f t="shared" si="20"/>
        <v>0000</v>
      </c>
    </row>
    <row r="187" spans="1:6">
      <c r="A187" t="str">
        <f>"T947-1"</f>
        <v>T947-1</v>
      </c>
      <c r="B187" t="str">
        <f>"PIAZZA DI SANTA MARTA VICINO AL 2-"</f>
        <v>PIAZZA DI SANTA MARTA VICINO AL 2-</v>
      </c>
      <c r="C187" t="str">
        <f t="shared" si="21"/>
        <v>1</v>
      </c>
      <c r="D187">
        <v>68</v>
      </c>
      <c r="E187" t="str">
        <f>"525"</f>
        <v>525</v>
      </c>
      <c r="F187" t="str">
        <f t="shared" si="20"/>
        <v>0000</v>
      </c>
    </row>
    <row r="188" spans="1:6">
      <c r="A188" t="str">
        <f>"T948-1"</f>
        <v>T948-1</v>
      </c>
      <c r="B188" t="str">
        <f>"VIA DODICI OTTOBRE VICINO AL 12-"</f>
        <v>VIA DODICI OTTOBRE VICINO AL 12-</v>
      </c>
      <c r="C188" t="str">
        <f t="shared" si="21"/>
        <v>1</v>
      </c>
      <c r="D188">
        <v>68</v>
      </c>
      <c r="E188" t="str">
        <f>"1138"</f>
        <v>1138</v>
      </c>
      <c r="F188" t="str">
        <f t="shared" si="20"/>
        <v>0000</v>
      </c>
    </row>
    <row r="189" spans="1:6">
      <c r="A189" t="str">
        <f>"T950-1"</f>
        <v>T950-1</v>
      </c>
      <c r="B189" t="str">
        <f>"SALITA DELLA MISERICORDIA VICINO AL 5-"</f>
        <v>SALITA DELLA MISERICORDIA VICINO AL 5-</v>
      </c>
      <c r="C189" t="str">
        <f t="shared" si="21"/>
        <v>1</v>
      </c>
      <c r="D189">
        <v>69</v>
      </c>
      <c r="E189" t="str">
        <f>"125"</f>
        <v>125</v>
      </c>
      <c r="F189" t="str">
        <f t="shared" si="20"/>
        <v>0000</v>
      </c>
    </row>
    <row r="190" spans="1:6">
      <c r="A190" t="str">
        <f>"T950-2"</f>
        <v>T950-2</v>
      </c>
      <c r="B190" t="str">
        <f>"SALITA DELLA MISERICORDIA VICINO AL 5-"</f>
        <v>SALITA DELLA MISERICORDIA VICINO AL 5-</v>
      </c>
      <c r="C190" t="str">
        <f t="shared" si="21"/>
        <v>1</v>
      </c>
      <c r="D190">
        <v>69</v>
      </c>
      <c r="E190" t="str">
        <f>"167"</f>
        <v>167</v>
      </c>
      <c r="F190" t="str">
        <f t="shared" si="20"/>
        <v>0000</v>
      </c>
    </row>
    <row r="191" spans="1:6">
      <c r="A191" t="str">
        <f>"T951-1"</f>
        <v>T951-1</v>
      </c>
      <c r="B191" t="str">
        <f>"VIA NAPOLI VICINO AL 14-"</f>
        <v>VIA NAPOLI VICINO AL 14-</v>
      </c>
      <c r="C191" t="str">
        <f t="shared" si="21"/>
        <v>1</v>
      </c>
      <c r="D191">
        <v>12</v>
      </c>
      <c r="E191" t="str">
        <f>"208"</f>
        <v>208</v>
      </c>
      <c r="F191" t="str">
        <f t="shared" si="20"/>
        <v>0000</v>
      </c>
    </row>
    <row r="192" spans="1:6">
      <c r="A192" t="str">
        <f>"T951-2"</f>
        <v>T951-2</v>
      </c>
      <c r="B192" t="str">
        <f>"VIA NAPOLI VICINO AL 14-"</f>
        <v>VIA NAPOLI VICINO AL 14-</v>
      </c>
      <c r="C192" t="str">
        <f t="shared" si="21"/>
        <v>1</v>
      </c>
      <c r="D192">
        <v>12</v>
      </c>
      <c r="E192" t="str">
        <f>"209"</f>
        <v>209</v>
      </c>
      <c r="F192" t="str">
        <f t="shared" si="20"/>
        <v>0000</v>
      </c>
    </row>
    <row r="193" spans="1:6">
      <c r="A193" t="str">
        <f>"T953-1"</f>
        <v>T953-1</v>
      </c>
      <c r="B193" t="str">
        <f>"VIA NAPOLI VICINO AL 60-"</f>
        <v>VIA NAPOLI VICINO AL 60-</v>
      </c>
      <c r="C193" t="str">
        <f t="shared" si="21"/>
        <v>1</v>
      </c>
      <c r="D193">
        <v>12</v>
      </c>
      <c r="E193" t="str">
        <f>"23"</f>
        <v>23</v>
      </c>
      <c r="F193" t="str">
        <f t="shared" si="20"/>
        <v>0000</v>
      </c>
    </row>
    <row r="194" spans="1:6">
      <c r="A194" t="str">
        <f>"T953-2"</f>
        <v>T953-2</v>
      </c>
      <c r="B194" t="str">
        <f>"VIA NAPOLI VICINO AL 60-"</f>
        <v>VIA NAPOLI VICINO AL 60-</v>
      </c>
      <c r="C194" t="str">
        <f t="shared" si="21"/>
        <v>1</v>
      </c>
      <c r="D194">
        <v>12</v>
      </c>
      <c r="E194" t="str">
        <f>"28"</f>
        <v>28</v>
      </c>
      <c r="F194" t="str">
        <f t="shared" si="20"/>
        <v>0000</v>
      </c>
    </row>
    <row r="195" spans="1:6">
      <c r="A195" t="str">
        <f>"T953-3"</f>
        <v>T953-3</v>
      </c>
      <c r="B195" t="str">
        <f>"VIA NAPOLI VICINO AL 60-"</f>
        <v>VIA NAPOLI VICINO AL 60-</v>
      </c>
      <c r="C195" t="str">
        <f t="shared" si="21"/>
        <v>1</v>
      </c>
      <c r="D195">
        <v>12</v>
      </c>
      <c r="E195" t="str">
        <f>"253"</f>
        <v>253</v>
      </c>
      <c r="F195" t="str">
        <f t="shared" si="20"/>
        <v>0000</v>
      </c>
    </row>
    <row r="196" spans="1:6">
      <c r="A196" t="str">
        <f>"T953-4"</f>
        <v>T953-4</v>
      </c>
      <c r="B196" t="str">
        <f>"VIA NAPOLI VICINO AL 60-"</f>
        <v>VIA NAPOLI VICINO AL 60-</v>
      </c>
      <c r="C196" t="str">
        <f t="shared" si="21"/>
        <v>1</v>
      </c>
      <c r="D196">
        <v>12</v>
      </c>
      <c r="E196" t="str">
        <f>"340"</f>
        <v>340</v>
      </c>
      <c r="F196" t="str">
        <f t="shared" si="20"/>
        <v>0000</v>
      </c>
    </row>
    <row r="197" spans="1:6">
      <c r="A197" t="str">
        <f>"T955-1"</f>
        <v>T955-1</v>
      </c>
      <c r="B197" t="str">
        <f>"VIA GIOVANNI CARBONE VICINO AL 14-"</f>
        <v>VIA GIOVANNI CARBONE VICINO AL 14-</v>
      </c>
      <c r="C197" t="str">
        <f t="shared" si="21"/>
        <v>1</v>
      </c>
      <c r="D197">
        <v>13</v>
      </c>
      <c r="E197" t="str">
        <f>"213"</f>
        <v>213</v>
      </c>
      <c r="F197" t="str">
        <f t="shared" si="20"/>
        <v>0000</v>
      </c>
    </row>
    <row r="198" spans="1:6">
      <c r="A198" t="str">
        <f>"T956-1"</f>
        <v>T956-1</v>
      </c>
      <c r="B198" t="str">
        <f t="shared" ref="B198:B203" si="22">"SALITA DI OREGINA VICINO AL 45-"</f>
        <v>SALITA DI OREGINA VICINO AL 45-</v>
      </c>
      <c r="C198" t="str">
        <f t="shared" si="21"/>
        <v>1</v>
      </c>
      <c r="D198">
        <v>13</v>
      </c>
      <c r="E198" t="str">
        <f>"76"</f>
        <v>76</v>
      </c>
      <c r="F198" t="str">
        <f t="shared" si="20"/>
        <v>0000</v>
      </c>
    </row>
    <row r="199" spans="1:6">
      <c r="A199" t="str">
        <f>"T956-2"</f>
        <v>T956-2</v>
      </c>
      <c r="B199" t="str">
        <f t="shared" si="22"/>
        <v>SALITA DI OREGINA VICINO AL 45-</v>
      </c>
      <c r="C199" t="str">
        <f t="shared" si="21"/>
        <v>1</v>
      </c>
      <c r="D199">
        <v>13</v>
      </c>
      <c r="E199" t="str">
        <f>"77"</f>
        <v>77</v>
      </c>
      <c r="F199" t="str">
        <f t="shared" si="20"/>
        <v>0000</v>
      </c>
    </row>
    <row r="200" spans="1:6">
      <c r="A200" t="str">
        <f>"T956-3"</f>
        <v>T956-3</v>
      </c>
      <c r="B200" t="str">
        <f t="shared" si="22"/>
        <v>SALITA DI OREGINA VICINO AL 45-</v>
      </c>
      <c r="C200" t="str">
        <f t="shared" si="21"/>
        <v>1</v>
      </c>
      <c r="D200">
        <v>13</v>
      </c>
      <c r="E200" t="str">
        <f>"79"</f>
        <v>79</v>
      </c>
      <c r="F200" t="str">
        <f t="shared" si="20"/>
        <v>0000</v>
      </c>
    </row>
    <row r="201" spans="1:6">
      <c r="A201" t="str">
        <f>"T956-4"</f>
        <v>T956-4</v>
      </c>
      <c r="B201" t="str">
        <f t="shared" si="22"/>
        <v>SALITA DI OREGINA VICINO AL 45-</v>
      </c>
      <c r="C201" t="str">
        <f t="shared" si="21"/>
        <v>1</v>
      </c>
      <c r="D201">
        <v>13</v>
      </c>
      <c r="E201" t="str">
        <f>"80"</f>
        <v>80</v>
      </c>
      <c r="F201" t="str">
        <f t="shared" si="20"/>
        <v>0000</v>
      </c>
    </row>
    <row r="202" spans="1:6">
      <c r="A202" t="str">
        <f>"T956-5"</f>
        <v>T956-5</v>
      </c>
      <c r="B202" t="str">
        <f t="shared" si="22"/>
        <v>SALITA DI OREGINA VICINO AL 45-</v>
      </c>
      <c r="C202" t="str">
        <f t="shared" si="21"/>
        <v>1</v>
      </c>
      <c r="D202">
        <v>13</v>
      </c>
      <c r="E202" t="str">
        <f>"81"</f>
        <v>81</v>
      </c>
      <c r="F202" t="str">
        <f t="shared" si="20"/>
        <v>0000</v>
      </c>
    </row>
    <row r="203" spans="1:6">
      <c r="A203" t="str">
        <f>"T956-6"</f>
        <v>T956-6</v>
      </c>
      <c r="B203" t="str">
        <f t="shared" si="22"/>
        <v>SALITA DI OREGINA VICINO AL 45-</v>
      </c>
      <c r="C203" t="str">
        <f t="shared" si="21"/>
        <v>1</v>
      </c>
      <c r="D203">
        <v>13</v>
      </c>
      <c r="E203" t="str">
        <f>"93"</f>
        <v>93</v>
      </c>
      <c r="F203" t="str">
        <f t="shared" si="20"/>
        <v>0000</v>
      </c>
    </row>
    <row r="204" spans="1:6">
      <c r="A204" t="str">
        <f>"T957-1"</f>
        <v>T957-1</v>
      </c>
      <c r="B204" t="str">
        <f>"VIA VINCENZO MACULANO VICINO AL 40R-"</f>
        <v>VIA VINCENZO MACULANO VICINO AL 40R-</v>
      </c>
      <c r="C204" t="str">
        <f>"GEC"</f>
        <v>GEC</v>
      </c>
      <c r="D204">
        <v>3</v>
      </c>
      <c r="E204" t="str">
        <f>"511"</f>
        <v>511</v>
      </c>
      <c r="F204" t="str">
        <f>"7"</f>
        <v>7</v>
      </c>
    </row>
    <row r="205" spans="1:6">
      <c r="A205" t="str">
        <f>"T957-2"</f>
        <v>T957-2</v>
      </c>
      <c r="B205" t="str">
        <f>"VIA VINCENZO MACULANO VICINO AL 40R-"</f>
        <v>VIA VINCENZO MACULANO VICINO AL 40R-</v>
      </c>
      <c r="C205" t="str">
        <f>"1"</f>
        <v>1</v>
      </c>
      <c r="D205">
        <v>13</v>
      </c>
      <c r="E205" t="str">
        <f>"45"</f>
        <v>45</v>
      </c>
      <c r="F205" t="str">
        <f t="shared" ref="F205:F236" si="23">"0000"</f>
        <v>0000</v>
      </c>
    </row>
    <row r="206" spans="1:6">
      <c r="A206" t="str">
        <f>"T957-3"</f>
        <v>T957-3</v>
      </c>
      <c r="B206" t="str">
        <f>"VIA VINCENZO MACULANO VICINO AL 40R-"</f>
        <v>VIA VINCENZO MACULANO VICINO AL 40R-</v>
      </c>
      <c r="C206" t="str">
        <f>"1"</f>
        <v>1</v>
      </c>
      <c r="D206">
        <v>13</v>
      </c>
      <c r="E206" t="str">
        <f>"208"</f>
        <v>208</v>
      </c>
      <c r="F206" t="str">
        <f t="shared" si="23"/>
        <v>0000</v>
      </c>
    </row>
    <row r="207" spans="1:6">
      <c r="A207" t="str">
        <f>"T958-1"</f>
        <v>T958-1</v>
      </c>
      <c r="B207" t="str">
        <f>"PIAZZA DI OREGINA VICINO AL 44-"</f>
        <v>PIAZZA DI OREGINA VICINO AL 44-</v>
      </c>
      <c r="C207" t="str">
        <f>"1"</f>
        <v>1</v>
      </c>
      <c r="D207">
        <v>13</v>
      </c>
      <c r="E207" t="str">
        <f>"42"</f>
        <v>42</v>
      </c>
      <c r="F207" t="str">
        <f t="shared" si="23"/>
        <v>0000</v>
      </c>
    </row>
    <row r="208" spans="1:6">
      <c r="A208" t="str">
        <f>"T958-2"</f>
        <v>T958-2</v>
      </c>
      <c r="B208" t="str">
        <f>"PIAZZA DI OREGINA VICINO AL 44-"</f>
        <v>PIAZZA DI OREGINA VICINO AL 44-</v>
      </c>
      <c r="C208" t="str">
        <f>"1"</f>
        <v>1</v>
      </c>
      <c r="D208">
        <v>13</v>
      </c>
      <c r="E208" t="str">
        <f>"57"</f>
        <v>57</v>
      </c>
      <c r="F208" t="str">
        <f t="shared" si="23"/>
        <v>0000</v>
      </c>
    </row>
    <row r="209" spans="1:6">
      <c r="A209" t="str">
        <f>"T958-3"</f>
        <v>T958-3</v>
      </c>
      <c r="B209" t="str">
        <f>"PIAZZA DI OREGINA VICINO AL 44-"</f>
        <v>PIAZZA DI OREGINA VICINO AL 44-</v>
      </c>
      <c r="C209" t="str">
        <f>"1"</f>
        <v>1</v>
      </c>
      <c r="D209">
        <v>13</v>
      </c>
      <c r="E209" t="str">
        <f>"59"</f>
        <v>59</v>
      </c>
      <c r="F209" t="str">
        <f t="shared" si="23"/>
        <v>0000</v>
      </c>
    </row>
    <row r="210" spans="1:6">
      <c r="A210" t="str">
        <f>"T966-16"</f>
        <v>T966-16</v>
      </c>
      <c r="B210" t="str">
        <f>"PIAZZETTA GIULIO MARCHI VICINO AL 1-"</f>
        <v>PIAZZETTA GIULIO MARCHI VICINO AL 1-</v>
      </c>
      <c r="C210" t="str">
        <f>"GEC"</f>
        <v>GEC</v>
      </c>
      <c r="D210">
        <v>9</v>
      </c>
      <c r="E210" t="str">
        <f>"1129"</f>
        <v>1129</v>
      </c>
      <c r="F210" t="str">
        <f t="shared" si="23"/>
        <v>0000</v>
      </c>
    </row>
    <row r="211" spans="1:6">
      <c r="A211" t="str">
        <f>"T966-16"</f>
        <v>T966-16</v>
      </c>
      <c r="B211" t="str">
        <f>"PIAZZETTA GIULIO MARCHI VICINO AL 1-"</f>
        <v>PIAZZETTA GIULIO MARCHI VICINO AL 1-</v>
      </c>
      <c r="C211" t="str">
        <f t="shared" ref="C211:C242" si="24">"1"</f>
        <v>1</v>
      </c>
      <c r="D211">
        <v>17</v>
      </c>
      <c r="E211" t="str">
        <f>"1129"</f>
        <v>1129</v>
      </c>
      <c r="F211" t="str">
        <f t="shared" si="23"/>
        <v>0000</v>
      </c>
    </row>
    <row r="212" spans="1:6">
      <c r="A212" t="str">
        <f>"T966-17"</f>
        <v>T966-17</v>
      </c>
      <c r="B212" t="str">
        <f>"PIAZZETTA GIULIO MARCHI VICINO AL 1-"</f>
        <v>PIAZZETTA GIULIO MARCHI VICINO AL 1-</v>
      </c>
      <c r="C212" t="str">
        <f t="shared" si="24"/>
        <v>1</v>
      </c>
      <c r="D212">
        <v>17</v>
      </c>
      <c r="E212" t="str">
        <f>"1130"</f>
        <v>1130</v>
      </c>
      <c r="F212" t="str">
        <f t="shared" si="23"/>
        <v>0000</v>
      </c>
    </row>
    <row r="213" spans="1:6">
      <c r="A213" t="str">
        <f>"T967-1"</f>
        <v>T967-1</v>
      </c>
      <c r="B213" t="str">
        <f>"VIA INNOCENZO FRUGONI VICINO AL 21-"</f>
        <v>VIA INNOCENZO FRUGONI VICINO AL 21-</v>
      </c>
      <c r="C213" t="str">
        <f t="shared" si="24"/>
        <v>1</v>
      </c>
      <c r="D213">
        <v>84</v>
      </c>
      <c r="E213" t="str">
        <f>"129"</f>
        <v>129</v>
      </c>
      <c r="F213" t="str">
        <f t="shared" si="23"/>
        <v>0000</v>
      </c>
    </row>
    <row r="214" spans="1:6">
      <c r="A214" t="str">
        <f>"T967-2"</f>
        <v>T967-2</v>
      </c>
      <c r="B214" t="str">
        <f>"VIA INNOCENZO FRUGONI VICINO AL 21-"</f>
        <v>VIA INNOCENZO FRUGONI VICINO AL 21-</v>
      </c>
      <c r="C214" t="str">
        <f t="shared" si="24"/>
        <v>1</v>
      </c>
      <c r="D214">
        <v>84</v>
      </c>
      <c r="E214" t="str">
        <f>"130"</f>
        <v>130</v>
      </c>
      <c r="F214" t="str">
        <f t="shared" si="23"/>
        <v>0000</v>
      </c>
    </row>
    <row r="215" spans="1:6">
      <c r="A215" t="str">
        <f>"T967-3"</f>
        <v>T967-3</v>
      </c>
      <c r="B215" t="str">
        <f>"VIA INNOCENZO FRUGONI VICINO AL 21-"</f>
        <v>VIA INNOCENZO FRUGONI VICINO AL 21-</v>
      </c>
      <c r="C215" t="str">
        <f t="shared" si="24"/>
        <v>1</v>
      </c>
      <c r="D215">
        <v>84</v>
      </c>
      <c r="E215" t="str">
        <f>"132"</f>
        <v>132</v>
      </c>
      <c r="F215" t="str">
        <f t="shared" si="23"/>
        <v>0000</v>
      </c>
    </row>
    <row r="216" spans="1:6">
      <c r="A216" t="str">
        <f>"T968-1"</f>
        <v>T968-1</v>
      </c>
      <c r="B216" t="str">
        <f>"BELV  VITTORIO PERTUSIO VICINO AL 4-"</f>
        <v>BELV  VITTORIO PERTUSIO VICINO AL 4-</v>
      </c>
      <c r="C216" t="str">
        <f t="shared" si="24"/>
        <v>1</v>
      </c>
      <c r="D216">
        <v>65</v>
      </c>
      <c r="E216" t="str">
        <f>"3"</f>
        <v>3</v>
      </c>
      <c r="F216" t="str">
        <f t="shared" si="23"/>
        <v>0000</v>
      </c>
    </row>
    <row r="217" spans="1:6">
      <c r="A217" t="str">
        <f>"T968-2"</f>
        <v>T968-2</v>
      </c>
      <c r="B217" t="str">
        <f>"BELV  VITTORIO PERTUSIO VICINO AL 4-"</f>
        <v>BELV  VITTORIO PERTUSIO VICINO AL 4-</v>
      </c>
      <c r="C217" t="str">
        <f t="shared" si="24"/>
        <v>1</v>
      </c>
      <c r="D217">
        <v>65</v>
      </c>
      <c r="E217" t="str">
        <f>"7"</f>
        <v>7</v>
      </c>
      <c r="F217" t="str">
        <f t="shared" si="23"/>
        <v>0000</v>
      </c>
    </row>
    <row r="218" spans="1:6">
      <c r="A218" t="str">
        <f>"T968-3"</f>
        <v>T968-3</v>
      </c>
      <c r="B218" t="str">
        <f>"BELV  VITTORIO PERTUSIO VICINO AL 4-"</f>
        <v>BELV  VITTORIO PERTUSIO VICINO AL 4-</v>
      </c>
      <c r="C218" t="str">
        <f t="shared" si="24"/>
        <v>1</v>
      </c>
      <c r="D218">
        <v>65</v>
      </c>
      <c r="E218" t="str">
        <f>"37"</f>
        <v>37</v>
      </c>
      <c r="F218" t="str">
        <f t="shared" si="23"/>
        <v>0000</v>
      </c>
    </row>
    <row r="219" spans="1:6">
      <c r="A219" t="str">
        <f>"T975-1"</f>
        <v>T975-1</v>
      </c>
      <c r="B219" t="str">
        <f t="shared" ref="B219:B250" si="25">"VIA PARCO DEL PERALTO VICINO AL 30-"</f>
        <v>VIA PARCO DEL PERALTO VICINO AL 30-</v>
      </c>
      <c r="C219" t="str">
        <f t="shared" si="24"/>
        <v>1</v>
      </c>
      <c r="D219">
        <v>6</v>
      </c>
      <c r="E219" t="str">
        <f>"1"</f>
        <v>1</v>
      </c>
      <c r="F219" t="str">
        <f t="shared" si="23"/>
        <v>0000</v>
      </c>
    </row>
    <row r="220" spans="1:6">
      <c r="A220" t="str">
        <f>"T975-2"</f>
        <v>T975-2</v>
      </c>
      <c r="B220" t="str">
        <f t="shared" si="25"/>
        <v>VIA PARCO DEL PERALTO VICINO AL 30-</v>
      </c>
      <c r="C220" t="str">
        <f t="shared" si="24"/>
        <v>1</v>
      </c>
      <c r="D220">
        <v>6</v>
      </c>
      <c r="E220" t="str">
        <f>"9"</f>
        <v>9</v>
      </c>
      <c r="F220" t="str">
        <f t="shared" si="23"/>
        <v>0000</v>
      </c>
    </row>
    <row r="221" spans="1:6">
      <c r="A221" t="str">
        <f>"T975-3"</f>
        <v>T975-3</v>
      </c>
      <c r="B221" t="str">
        <f t="shared" si="25"/>
        <v>VIA PARCO DEL PERALTO VICINO AL 30-</v>
      </c>
      <c r="C221" t="str">
        <f t="shared" si="24"/>
        <v>1</v>
      </c>
      <c r="D221">
        <v>6</v>
      </c>
      <c r="E221" t="str">
        <f>"11"</f>
        <v>11</v>
      </c>
      <c r="F221" t="str">
        <f t="shared" si="23"/>
        <v>0000</v>
      </c>
    </row>
    <row r="222" spans="1:6">
      <c r="A222" t="str">
        <f>"T975-4"</f>
        <v>T975-4</v>
      </c>
      <c r="B222" t="str">
        <f t="shared" si="25"/>
        <v>VIA PARCO DEL PERALTO VICINO AL 30-</v>
      </c>
      <c r="C222" t="str">
        <f t="shared" si="24"/>
        <v>1</v>
      </c>
      <c r="D222">
        <v>6</v>
      </c>
      <c r="E222" t="str">
        <f>"12"</f>
        <v>12</v>
      </c>
      <c r="F222" t="str">
        <f t="shared" si="23"/>
        <v>0000</v>
      </c>
    </row>
    <row r="223" spans="1:6">
      <c r="A223" t="str">
        <f>"T975-5"</f>
        <v>T975-5</v>
      </c>
      <c r="B223" t="str">
        <f t="shared" si="25"/>
        <v>VIA PARCO DEL PERALTO VICINO AL 30-</v>
      </c>
      <c r="C223" t="str">
        <f t="shared" si="24"/>
        <v>1</v>
      </c>
      <c r="D223">
        <v>6</v>
      </c>
      <c r="E223" t="str">
        <f>"15"</f>
        <v>15</v>
      </c>
      <c r="F223" t="str">
        <f t="shared" si="23"/>
        <v>0000</v>
      </c>
    </row>
    <row r="224" spans="1:6">
      <c r="A224" t="str">
        <f>"T975-6"</f>
        <v>T975-6</v>
      </c>
      <c r="B224" t="str">
        <f t="shared" si="25"/>
        <v>VIA PARCO DEL PERALTO VICINO AL 30-</v>
      </c>
      <c r="C224" t="str">
        <f t="shared" si="24"/>
        <v>1</v>
      </c>
      <c r="D224">
        <v>6</v>
      </c>
      <c r="E224" t="str">
        <f>"20"</f>
        <v>20</v>
      </c>
      <c r="F224" t="str">
        <f t="shared" si="23"/>
        <v>0000</v>
      </c>
    </row>
    <row r="225" spans="1:6">
      <c r="A225" t="str">
        <f>"T975-7"</f>
        <v>T975-7</v>
      </c>
      <c r="B225" t="str">
        <f t="shared" si="25"/>
        <v>VIA PARCO DEL PERALTO VICINO AL 30-</v>
      </c>
      <c r="C225" t="str">
        <f t="shared" si="24"/>
        <v>1</v>
      </c>
      <c r="D225">
        <v>6</v>
      </c>
      <c r="E225" t="str">
        <f>"22"</f>
        <v>22</v>
      </c>
      <c r="F225" t="str">
        <f t="shared" si="23"/>
        <v>0000</v>
      </c>
    </row>
    <row r="226" spans="1:6">
      <c r="A226" t="str">
        <f>"T975-8"</f>
        <v>T975-8</v>
      </c>
      <c r="B226" t="str">
        <f t="shared" si="25"/>
        <v>VIA PARCO DEL PERALTO VICINO AL 30-</v>
      </c>
      <c r="C226" t="str">
        <f t="shared" si="24"/>
        <v>1</v>
      </c>
      <c r="D226">
        <v>6</v>
      </c>
      <c r="E226" t="str">
        <f>"23"</f>
        <v>23</v>
      </c>
      <c r="F226" t="str">
        <f t="shared" si="23"/>
        <v>0000</v>
      </c>
    </row>
    <row r="227" spans="1:6">
      <c r="A227" t="str">
        <f>"T975-9"</f>
        <v>T975-9</v>
      </c>
      <c r="B227" t="str">
        <f t="shared" si="25"/>
        <v>VIA PARCO DEL PERALTO VICINO AL 30-</v>
      </c>
      <c r="C227" t="str">
        <f t="shared" si="24"/>
        <v>1</v>
      </c>
      <c r="D227">
        <v>6</v>
      </c>
      <c r="E227" t="str">
        <f>"21"</f>
        <v>21</v>
      </c>
      <c r="F227" t="str">
        <f t="shared" si="23"/>
        <v>0000</v>
      </c>
    </row>
    <row r="228" spans="1:6">
      <c r="A228" t="str">
        <f>"T975-10"</f>
        <v>T975-10</v>
      </c>
      <c r="B228" t="str">
        <f t="shared" si="25"/>
        <v>VIA PARCO DEL PERALTO VICINO AL 30-</v>
      </c>
      <c r="C228" t="str">
        <f t="shared" si="24"/>
        <v>1</v>
      </c>
      <c r="D228">
        <v>6</v>
      </c>
      <c r="E228" t="str">
        <f>"26"</f>
        <v>26</v>
      </c>
      <c r="F228" t="str">
        <f t="shared" si="23"/>
        <v>0000</v>
      </c>
    </row>
    <row r="229" spans="1:6">
      <c r="A229" t="str">
        <f>"T975-11"</f>
        <v>T975-11</v>
      </c>
      <c r="B229" t="str">
        <f t="shared" si="25"/>
        <v>VIA PARCO DEL PERALTO VICINO AL 30-</v>
      </c>
      <c r="C229" t="str">
        <f t="shared" si="24"/>
        <v>1</v>
      </c>
      <c r="D229">
        <v>6</v>
      </c>
      <c r="E229" t="str">
        <f>"27"</f>
        <v>27</v>
      </c>
      <c r="F229" t="str">
        <f t="shared" si="23"/>
        <v>0000</v>
      </c>
    </row>
    <row r="230" spans="1:6">
      <c r="A230" t="str">
        <f>"T975-12"</f>
        <v>T975-12</v>
      </c>
      <c r="B230" t="str">
        <f t="shared" si="25"/>
        <v>VIA PARCO DEL PERALTO VICINO AL 30-</v>
      </c>
      <c r="C230" t="str">
        <f t="shared" si="24"/>
        <v>1</v>
      </c>
      <c r="D230">
        <v>6</v>
      </c>
      <c r="E230" t="str">
        <f>"32"</f>
        <v>32</v>
      </c>
      <c r="F230" t="str">
        <f t="shared" si="23"/>
        <v>0000</v>
      </c>
    </row>
    <row r="231" spans="1:6">
      <c r="A231" t="str">
        <f>"T975-13"</f>
        <v>T975-13</v>
      </c>
      <c r="B231" t="str">
        <f t="shared" si="25"/>
        <v>VIA PARCO DEL PERALTO VICINO AL 30-</v>
      </c>
      <c r="C231" t="str">
        <f t="shared" si="24"/>
        <v>1</v>
      </c>
      <c r="D231">
        <v>6</v>
      </c>
      <c r="E231" t="str">
        <f>"35"</f>
        <v>35</v>
      </c>
      <c r="F231" t="str">
        <f t="shared" si="23"/>
        <v>0000</v>
      </c>
    </row>
    <row r="232" spans="1:6">
      <c r="A232" t="str">
        <f>"T975-14"</f>
        <v>T975-14</v>
      </c>
      <c r="B232" t="str">
        <f t="shared" si="25"/>
        <v>VIA PARCO DEL PERALTO VICINO AL 30-</v>
      </c>
      <c r="C232" t="str">
        <f t="shared" si="24"/>
        <v>1</v>
      </c>
      <c r="D232">
        <v>6</v>
      </c>
      <c r="E232" t="str">
        <f>"37"</f>
        <v>37</v>
      </c>
      <c r="F232" t="str">
        <f t="shared" si="23"/>
        <v>0000</v>
      </c>
    </row>
    <row r="233" spans="1:6">
      <c r="A233" t="str">
        <f>"T975-15"</f>
        <v>T975-15</v>
      </c>
      <c r="B233" t="str">
        <f t="shared" si="25"/>
        <v>VIA PARCO DEL PERALTO VICINO AL 30-</v>
      </c>
      <c r="C233" t="str">
        <f t="shared" si="24"/>
        <v>1</v>
      </c>
      <c r="D233">
        <v>6</v>
      </c>
      <c r="E233" t="str">
        <f>"38"</f>
        <v>38</v>
      </c>
      <c r="F233" t="str">
        <f t="shared" si="23"/>
        <v>0000</v>
      </c>
    </row>
    <row r="234" spans="1:6">
      <c r="A234" t="str">
        <f>"T975-19"</f>
        <v>T975-19</v>
      </c>
      <c r="B234" t="str">
        <f t="shared" si="25"/>
        <v>VIA PARCO DEL PERALTO VICINO AL 30-</v>
      </c>
      <c r="C234" t="str">
        <f t="shared" si="24"/>
        <v>1</v>
      </c>
      <c r="D234">
        <v>7</v>
      </c>
      <c r="E234" t="str">
        <f>"7"</f>
        <v>7</v>
      </c>
      <c r="F234" t="str">
        <f t="shared" si="23"/>
        <v>0000</v>
      </c>
    </row>
    <row r="235" spans="1:6">
      <c r="A235" t="str">
        <f>"T975-20"</f>
        <v>T975-20</v>
      </c>
      <c r="B235" t="str">
        <f t="shared" si="25"/>
        <v>VIA PARCO DEL PERALTO VICINO AL 30-</v>
      </c>
      <c r="C235" t="str">
        <f t="shared" si="24"/>
        <v>1</v>
      </c>
      <c r="D235">
        <v>7</v>
      </c>
      <c r="E235" t="str">
        <f>"9"</f>
        <v>9</v>
      </c>
      <c r="F235" t="str">
        <f t="shared" si="23"/>
        <v>0000</v>
      </c>
    </row>
    <row r="236" spans="1:6">
      <c r="A236" t="str">
        <f>"T975-21"</f>
        <v>T975-21</v>
      </c>
      <c r="B236" t="str">
        <f t="shared" si="25"/>
        <v>VIA PARCO DEL PERALTO VICINO AL 30-</v>
      </c>
      <c r="C236" t="str">
        <f t="shared" si="24"/>
        <v>1</v>
      </c>
      <c r="D236">
        <v>7</v>
      </c>
      <c r="E236" t="str">
        <f>"13"</f>
        <v>13</v>
      </c>
      <c r="F236" t="str">
        <f t="shared" si="23"/>
        <v>0000</v>
      </c>
    </row>
    <row r="237" spans="1:6">
      <c r="A237" t="str">
        <f>"T975-22"</f>
        <v>T975-22</v>
      </c>
      <c r="B237" t="str">
        <f t="shared" si="25"/>
        <v>VIA PARCO DEL PERALTO VICINO AL 30-</v>
      </c>
      <c r="C237" t="str">
        <f t="shared" si="24"/>
        <v>1</v>
      </c>
      <c r="D237">
        <v>7</v>
      </c>
      <c r="E237" t="str">
        <f>"14"</f>
        <v>14</v>
      </c>
      <c r="F237" t="str">
        <f t="shared" ref="F237:F271" si="26">"0000"</f>
        <v>0000</v>
      </c>
    </row>
    <row r="238" spans="1:6">
      <c r="A238" t="str">
        <f>"T975-23"</f>
        <v>T975-23</v>
      </c>
      <c r="B238" t="str">
        <f t="shared" si="25"/>
        <v>VIA PARCO DEL PERALTO VICINO AL 30-</v>
      </c>
      <c r="C238" t="str">
        <f t="shared" si="24"/>
        <v>1</v>
      </c>
      <c r="D238">
        <v>7</v>
      </c>
      <c r="E238" t="str">
        <f>"20"</f>
        <v>20</v>
      </c>
      <c r="F238" t="str">
        <f t="shared" si="26"/>
        <v>0000</v>
      </c>
    </row>
    <row r="239" spans="1:6">
      <c r="A239" t="str">
        <f>"T975-24"</f>
        <v>T975-24</v>
      </c>
      <c r="B239" t="str">
        <f t="shared" si="25"/>
        <v>VIA PARCO DEL PERALTO VICINO AL 30-</v>
      </c>
      <c r="C239" t="str">
        <f t="shared" si="24"/>
        <v>1</v>
      </c>
      <c r="D239">
        <v>7</v>
      </c>
      <c r="E239" t="str">
        <f>"25"</f>
        <v>25</v>
      </c>
      <c r="F239" t="str">
        <f t="shared" si="26"/>
        <v>0000</v>
      </c>
    </row>
    <row r="240" spans="1:6">
      <c r="A240" t="str">
        <f>"T975-25"</f>
        <v>T975-25</v>
      </c>
      <c r="B240" t="str">
        <f t="shared" si="25"/>
        <v>VIA PARCO DEL PERALTO VICINO AL 30-</v>
      </c>
      <c r="C240" t="str">
        <f t="shared" si="24"/>
        <v>1</v>
      </c>
      <c r="D240">
        <v>7</v>
      </c>
      <c r="E240" t="str">
        <f>"26"</f>
        <v>26</v>
      </c>
      <c r="F240" t="str">
        <f t="shared" si="26"/>
        <v>0000</v>
      </c>
    </row>
    <row r="241" spans="1:6">
      <c r="A241" t="str">
        <f>"T975-26"</f>
        <v>T975-26</v>
      </c>
      <c r="B241" t="str">
        <f t="shared" si="25"/>
        <v>VIA PARCO DEL PERALTO VICINO AL 30-</v>
      </c>
      <c r="C241" t="str">
        <f t="shared" si="24"/>
        <v>1</v>
      </c>
      <c r="D241">
        <v>7</v>
      </c>
      <c r="E241" t="str">
        <f>"28"</f>
        <v>28</v>
      </c>
      <c r="F241" t="str">
        <f t="shared" si="26"/>
        <v>0000</v>
      </c>
    </row>
    <row r="242" spans="1:6">
      <c r="A242" t="str">
        <f>"T975-27"</f>
        <v>T975-27</v>
      </c>
      <c r="B242" t="str">
        <f t="shared" si="25"/>
        <v>VIA PARCO DEL PERALTO VICINO AL 30-</v>
      </c>
      <c r="C242" t="str">
        <f t="shared" si="24"/>
        <v>1</v>
      </c>
      <c r="D242">
        <v>7</v>
      </c>
      <c r="E242" t="str">
        <f>"29"</f>
        <v>29</v>
      </c>
      <c r="F242" t="str">
        <f t="shared" si="26"/>
        <v>0000</v>
      </c>
    </row>
    <row r="243" spans="1:6">
      <c r="A243" t="str">
        <f>"T975-28"</f>
        <v>T975-28</v>
      </c>
      <c r="B243" t="str">
        <f t="shared" si="25"/>
        <v>VIA PARCO DEL PERALTO VICINO AL 30-</v>
      </c>
      <c r="C243" t="str">
        <f t="shared" ref="C243:C274" si="27">"1"</f>
        <v>1</v>
      </c>
      <c r="D243">
        <v>7</v>
      </c>
      <c r="E243" t="str">
        <f>"30"</f>
        <v>30</v>
      </c>
      <c r="F243" t="str">
        <f t="shared" si="26"/>
        <v>0000</v>
      </c>
    </row>
    <row r="244" spans="1:6">
      <c r="A244" t="str">
        <f>"T975-29"</f>
        <v>T975-29</v>
      </c>
      <c r="B244" t="str">
        <f t="shared" si="25"/>
        <v>VIA PARCO DEL PERALTO VICINO AL 30-</v>
      </c>
      <c r="C244" t="str">
        <f t="shared" si="27"/>
        <v>1</v>
      </c>
      <c r="D244">
        <v>7</v>
      </c>
      <c r="E244" t="str">
        <f>"32"</f>
        <v>32</v>
      </c>
      <c r="F244" t="str">
        <f t="shared" si="26"/>
        <v>0000</v>
      </c>
    </row>
    <row r="245" spans="1:6">
      <c r="A245" t="str">
        <f>"T975-30"</f>
        <v>T975-30</v>
      </c>
      <c r="B245" t="str">
        <f t="shared" si="25"/>
        <v>VIA PARCO DEL PERALTO VICINO AL 30-</v>
      </c>
      <c r="C245" t="str">
        <f t="shared" si="27"/>
        <v>1</v>
      </c>
      <c r="D245">
        <v>7</v>
      </c>
      <c r="E245" t="str">
        <f>"33"</f>
        <v>33</v>
      </c>
      <c r="F245" t="str">
        <f t="shared" si="26"/>
        <v>0000</v>
      </c>
    </row>
    <row r="246" spans="1:6">
      <c r="A246" t="str">
        <f>"T975-31"</f>
        <v>T975-31</v>
      </c>
      <c r="B246" t="str">
        <f t="shared" si="25"/>
        <v>VIA PARCO DEL PERALTO VICINO AL 30-</v>
      </c>
      <c r="C246" t="str">
        <f t="shared" si="27"/>
        <v>1</v>
      </c>
      <c r="D246">
        <v>7</v>
      </c>
      <c r="E246" t="str">
        <f>"34"</f>
        <v>34</v>
      </c>
      <c r="F246" t="str">
        <f t="shared" si="26"/>
        <v>0000</v>
      </c>
    </row>
    <row r="247" spans="1:6">
      <c r="A247" t="str">
        <f>"T975-32"</f>
        <v>T975-32</v>
      </c>
      <c r="B247" t="str">
        <f t="shared" si="25"/>
        <v>VIA PARCO DEL PERALTO VICINO AL 30-</v>
      </c>
      <c r="C247" t="str">
        <f t="shared" si="27"/>
        <v>1</v>
      </c>
      <c r="D247">
        <v>7</v>
      </c>
      <c r="E247" t="str">
        <f>"35"</f>
        <v>35</v>
      </c>
      <c r="F247" t="str">
        <f t="shared" si="26"/>
        <v>0000</v>
      </c>
    </row>
    <row r="248" spans="1:6">
      <c r="A248" t="str">
        <f>"T975-33"</f>
        <v>T975-33</v>
      </c>
      <c r="B248" t="str">
        <f t="shared" si="25"/>
        <v>VIA PARCO DEL PERALTO VICINO AL 30-</v>
      </c>
      <c r="C248" t="str">
        <f t="shared" si="27"/>
        <v>1</v>
      </c>
      <c r="D248">
        <v>7</v>
      </c>
      <c r="E248" t="str">
        <f>"36"</f>
        <v>36</v>
      </c>
      <c r="F248" t="str">
        <f t="shared" si="26"/>
        <v>0000</v>
      </c>
    </row>
    <row r="249" spans="1:6">
      <c r="A249" t="str">
        <f>"T975-35"</f>
        <v>T975-35</v>
      </c>
      <c r="B249" t="str">
        <f t="shared" si="25"/>
        <v>VIA PARCO DEL PERALTO VICINO AL 30-</v>
      </c>
      <c r="C249" t="str">
        <f t="shared" si="27"/>
        <v>1</v>
      </c>
      <c r="D249">
        <v>7</v>
      </c>
      <c r="E249" t="str">
        <f>"49"</f>
        <v>49</v>
      </c>
      <c r="F249" t="str">
        <f t="shared" si="26"/>
        <v>0000</v>
      </c>
    </row>
    <row r="250" spans="1:6">
      <c r="A250" t="str">
        <f>"T975-37"</f>
        <v>T975-37</v>
      </c>
      <c r="B250" t="str">
        <f t="shared" si="25"/>
        <v>VIA PARCO DEL PERALTO VICINO AL 30-</v>
      </c>
      <c r="C250" t="str">
        <f t="shared" si="27"/>
        <v>1</v>
      </c>
      <c r="D250">
        <v>7</v>
      </c>
      <c r="E250" t="str">
        <f>"52"</f>
        <v>52</v>
      </c>
      <c r="F250" t="str">
        <f t="shared" si="26"/>
        <v>0000</v>
      </c>
    </row>
    <row r="251" spans="1:6">
      <c r="A251" t="str">
        <f>"T975-38"</f>
        <v>T975-38</v>
      </c>
      <c r="B251" t="str">
        <f t="shared" ref="B251:B277" si="28">"VIA PARCO DEL PERALTO VICINO AL 30-"</f>
        <v>VIA PARCO DEL PERALTO VICINO AL 30-</v>
      </c>
      <c r="C251" t="str">
        <f t="shared" si="27"/>
        <v>1</v>
      </c>
      <c r="D251">
        <v>7</v>
      </c>
      <c r="E251" t="str">
        <f>"71"</f>
        <v>71</v>
      </c>
      <c r="F251" t="str">
        <f t="shared" si="26"/>
        <v>0000</v>
      </c>
    </row>
    <row r="252" spans="1:6">
      <c r="A252" t="str">
        <f>"T975-39"</f>
        <v>T975-39</v>
      </c>
      <c r="B252" t="str">
        <f t="shared" si="28"/>
        <v>VIA PARCO DEL PERALTO VICINO AL 30-</v>
      </c>
      <c r="C252" t="str">
        <f t="shared" si="27"/>
        <v>1</v>
      </c>
      <c r="D252">
        <v>7</v>
      </c>
      <c r="E252" t="str">
        <f>"80"</f>
        <v>80</v>
      </c>
      <c r="F252" t="str">
        <f t="shared" si="26"/>
        <v>0000</v>
      </c>
    </row>
    <row r="253" spans="1:6">
      <c r="A253" t="str">
        <f>"T975-40"</f>
        <v>T975-40</v>
      </c>
      <c r="B253" t="str">
        <f t="shared" si="28"/>
        <v>VIA PARCO DEL PERALTO VICINO AL 30-</v>
      </c>
      <c r="C253" t="str">
        <f t="shared" si="27"/>
        <v>1</v>
      </c>
      <c r="D253">
        <v>7</v>
      </c>
      <c r="E253" t="str">
        <f>"81"</f>
        <v>81</v>
      </c>
      <c r="F253" t="str">
        <f t="shared" si="26"/>
        <v>0000</v>
      </c>
    </row>
    <row r="254" spans="1:6">
      <c r="A254" t="str">
        <f>"T975-41"</f>
        <v>T975-41</v>
      </c>
      <c r="B254" t="str">
        <f t="shared" si="28"/>
        <v>VIA PARCO DEL PERALTO VICINO AL 30-</v>
      </c>
      <c r="C254" t="str">
        <f t="shared" si="27"/>
        <v>1</v>
      </c>
      <c r="D254">
        <v>7</v>
      </c>
      <c r="E254" t="str">
        <f>"100"</f>
        <v>100</v>
      </c>
      <c r="F254" t="str">
        <f t="shared" si="26"/>
        <v>0000</v>
      </c>
    </row>
    <row r="255" spans="1:6">
      <c r="A255" t="str">
        <f>"T975-43"</f>
        <v>T975-43</v>
      </c>
      <c r="B255" t="str">
        <f t="shared" si="28"/>
        <v>VIA PARCO DEL PERALTO VICINO AL 30-</v>
      </c>
      <c r="C255" t="str">
        <f t="shared" si="27"/>
        <v>1</v>
      </c>
      <c r="D255">
        <v>7</v>
      </c>
      <c r="E255" t="str">
        <f>"135"</f>
        <v>135</v>
      </c>
      <c r="F255" t="str">
        <f t="shared" si="26"/>
        <v>0000</v>
      </c>
    </row>
    <row r="256" spans="1:6">
      <c r="A256" t="str">
        <f>"T975-44"</f>
        <v>T975-44</v>
      </c>
      <c r="B256" t="str">
        <f t="shared" si="28"/>
        <v>VIA PARCO DEL PERALTO VICINO AL 30-</v>
      </c>
      <c r="C256" t="str">
        <f t="shared" si="27"/>
        <v>1</v>
      </c>
      <c r="D256">
        <v>7</v>
      </c>
      <c r="E256" t="str">
        <f>"378"</f>
        <v>378</v>
      </c>
      <c r="F256" t="str">
        <f t="shared" si="26"/>
        <v>0000</v>
      </c>
    </row>
    <row r="257" spans="1:6">
      <c r="A257" t="str">
        <f>"T975-45"</f>
        <v>T975-45</v>
      </c>
      <c r="B257" t="str">
        <f t="shared" si="28"/>
        <v>VIA PARCO DEL PERALTO VICINO AL 30-</v>
      </c>
      <c r="C257" t="str">
        <f t="shared" si="27"/>
        <v>1</v>
      </c>
      <c r="D257">
        <v>16</v>
      </c>
      <c r="E257" t="str">
        <f>"1"</f>
        <v>1</v>
      </c>
      <c r="F257" t="str">
        <f t="shared" si="26"/>
        <v>0000</v>
      </c>
    </row>
    <row r="258" spans="1:6">
      <c r="A258" t="str">
        <f>"T975-46"</f>
        <v>T975-46</v>
      </c>
      <c r="B258" t="str">
        <f t="shared" si="28"/>
        <v>VIA PARCO DEL PERALTO VICINO AL 30-</v>
      </c>
      <c r="C258" t="str">
        <f t="shared" si="27"/>
        <v>1</v>
      </c>
      <c r="D258">
        <v>16</v>
      </c>
      <c r="E258" t="str">
        <f>"248"</f>
        <v>248</v>
      </c>
      <c r="F258" t="str">
        <f t="shared" si="26"/>
        <v>0000</v>
      </c>
    </row>
    <row r="259" spans="1:6">
      <c r="A259" t="str">
        <f>"T975-47"</f>
        <v>T975-47</v>
      </c>
      <c r="B259" t="str">
        <f t="shared" si="28"/>
        <v>VIA PARCO DEL PERALTO VICINO AL 30-</v>
      </c>
      <c r="C259" t="str">
        <f t="shared" si="27"/>
        <v>1</v>
      </c>
      <c r="D259">
        <v>6</v>
      </c>
      <c r="E259" t="str">
        <f>"2"</f>
        <v>2</v>
      </c>
      <c r="F259" t="str">
        <f t="shared" si="26"/>
        <v>0000</v>
      </c>
    </row>
    <row r="260" spans="1:6">
      <c r="A260" t="str">
        <f>"T975-48"</f>
        <v>T975-48</v>
      </c>
      <c r="B260" t="str">
        <f t="shared" si="28"/>
        <v>VIA PARCO DEL PERALTO VICINO AL 30-</v>
      </c>
      <c r="C260" t="str">
        <f t="shared" si="27"/>
        <v>1</v>
      </c>
      <c r="D260">
        <v>6</v>
      </c>
      <c r="E260" t="str">
        <f>"6"</f>
        <v>6</v>
      </c>
      <c r="F260" t="str">
        <f t="shared" si="26"/>
        <v>0000</v>
      </c>
    </row>
    <row r="261" spans="1:6">
      <c r="A261" t="str">
        <f>"T975-49"</f>
        <v>T975-49</v>
      </c>
      <c r="B261" t="str">
        <f t="shared" si="28"/>
        <v>VIA PARCO DEL PERALTO VICINO AL 30-</v>
      </c>
      <c r="C261" t="str">
        <f t="shared" si="27"/>
        <v>1</v>
      </c>
      <c r="D261">
        <v>6</v>
      </c>
      <c r="E261" t="str">
        <f>"7"</f>
        <v>7</v>
      </c>
      <c r="F261" t="str">
        <f t="shared" si="26"/>
        <v>0000</v>
      </c>
    </row>
    <row r="262" spans="1:6">
      <c r="A262" t="str">
        <f>"T975-50"</f>
        <v>T975-50</v>
      </c>
      <c r="B262" t="str">
        <f t="shared" si="28"/>
        <v>VIA PARCO DEL PERALTO VICINO AL 30-</v>
      </c>
      <c r="C262" t="str">
        <f t="shared" si="27"/>
        <v>1</v>
      </c>
      <c r="D262">
        <v>6</v>
      </c>
      <c r="E262" t="str">
        <f>"10"</f>
        <v>10</v>
      </c>
      <c r="F262" t="str">
        <f t="shared" si="26"/>
        <v>0000</v>
      </c>
    </row>
    <row r="263" spans="1:6">
      <c r="A263" t="str">
        <f>"T975-51"</f>
        <v>T975-51</v>
      </c>
      <c r="B263" t="str">
        <f t="shared" si="28"/>
        <v>VIA PARCO DEL PERALTO VICINO AL 30-</v>
      </c>
      <c r="C263" t="str">
        <f t="shared" si="27"/>
        <v>1</v>
      </c>
      <c r="D263">
        <v>7</v>
      </c>
      <c r="E263" t="str">
        <f>"1"</f>
        <v>1</v>
      </c>
      <c r="F263" t="str">
        <f t="shared" si="26"/>
        <v>0000</v>
      </c>
    </row>
    <row r="264" spans="1:6">
      <c r="A264" t="str">
        <f>"T975-52"</f>
        <v>T975-52</v>
      </c>
      <c r="B264" t="str">
        <f t="shared" si="28"/>
        <v>VIA PARCO DEL PERALTO VICINO AL 30-</v>
      </c>
      <c r="C264" t="str">
        <f t="shared" si="27"/>
        <v>1</v>
      </c>
      <c r="D264">
        <v>7</v>
      </c>
      <c r="E264" t="str">
        <f>"2"</f>
        <v>2</v>
      </c>
      <c r="F264" t="str">
        <f t="shared" si="26"/>
        <v>0000</v>
      </c>
    </row>
    <row r="265" spans="1:6">
      <c r="A265" t="str">
        <f>"T975-53"</f>
        <v>T975-53</v>
      </c>
      <c r="B265" t="str">
        <f t="shared" si="28"/>
        <v>VIA PARCO DEL PERALTO VICINO AL 30-</v>
      </c>
      <c r="C265" t="str">
        <f t="shared" si="27"/>
        <v>1</v>
      </c>
      <c r="D265">
        <v>7</v>
      </c>
      <c r="E265" t="str">
        <f>"6"</f>
        <v>6</v>
      </c>
      <c r="F265" t="str">
        <f t="shared" si="26"/>
        <v>0000</v>
      </c>
    </row>
    <row r="266" spans="1:6">
      <c r="A266" t="str">
        <f>"T975-54"</f>
        <v>T975-54</v>
      </c>
      <c r="B266" t="str">
        <f t="shared" si="28"/>
        <v>VIA PARCO DEL PERALTO VICINO AL 30-</v>
      </c>
      <c r="C266" t="str">
        <f t="shared" si="27"/>
        <v>1</v>
      </c>
      <c r="D266">
        <v>7</v>
      </c>
      <c r="E266" t="str">
        <f>"8"</f>
        <v>8</v>
      </c>
      <c r="F266" t="str">
        <f t="shared" si="26"/>
        <v>0000</v>
      </c>
    </row>
    <row r="267" spans="1:6">
      <c r="A267" t="str">
        <f>"T975-55"</f>
        <v>T975-55</v>
      </c>
      <c r="B267" t="str">
        <f t="shared" si="28"/>
        <v>VIA PARCO DEL PERALTO VICINO AL 30-</v>
      </c>
      <c r="C267" t="str">
        <f t="shared" si="27"/>
        <v>1</v>
      </c>
      <c r="D267">
        <v>7</v>
      </c>
      <c r="E267" t="str">
        <f>"11"</f>
        <v>11</v>
      </c>
      <c r="F267" t="str">
        <f t="shared" si="26"/>
        <v>0000</v>
      </c>
    </row>
    <row r="268" spans="1:6">
      <c r="A268" t="str">
        <f>"T975-56"</f>
        <v>T975-56</v>
      </c>
      <c r="B268" t="str">
        <f t="shared" si="28"/>
        <v>VIA PARCO DEL PERALTO VICINO AL 30-</v>
      </c>
      <c r="C268" t="str">
        <f t="shared" si="27"/>
        <v>1</v>
      </c>
      <c r="D268">
        <v>3</v>
      </c>
      <c r="E268" t="str">
        <f>"56"</f>
        <v>56</v>
      </c>
      <c r="F268" t="str">
        <f t="shared" si="26"/>
        <v>0000</v>
      </c>
    </row>
    <row r="269" spans="1:6">
      <c r="A269" t="str">
        <f>"T975-57"</f>
        <v>T975-57</v>
      </c>
      <c r="B269" t="str">
        <f t="shared" si="28"/>
        <v>VIA PARCO DEL PERALTO VICINO AL 30-</v>
      </c>
      <c r="C269" t="str">
        <f t="shared" si="27"/>
        <v>1</v>
      </c>
      <c r="D269">
        <v>3</v>
      </c>
      <c r="E269" t="str">
        <f>"81"</f>
        <v>81</v>
      </c>
      <c r="F269" t="str">
        <f t="shared" si="26"/>
        <v>0000</v>
      </c>
    </row>
    <row r="270" spans="1:6">
      <c r="A270" t="str">
        <f>"T975-62"</f>
        <v>T975-62</v>
      </c>
      <c r="B270" t="str">
        <f t="shared" si="28"/>
        <v>VIA PARCO DEL PERALTO VICINO AL 30-</v>
      </c>
      <c r="C270" t="str">
        <f t="shared" si="27"/>
        <v>1</v>
      </c>
      <c r="D270">
        <v>13</v>
      </c>
      <c r="E270" t="str">
        <f>"82"</f>
        <v>82</v>
      </c>
      <c r="F270" t="str">
        <f t="shared" si="26"/>
        <v>0000</v>
      </c>
    </row>
    <row r="271" spans="1:6">
      <c r="A271" t="str">
        <f>"T975-63"</f>
        <v>T975-63</v>
      </c>
      <c r="B271" t="str">
        <f t="shared" si="28"/>
        <v>VIA PARCO DEL PERALTO VICINO AL 30-</v>
      </c>
      <c r="C271" t="str">
        <f t="shared" si="27"/>
        <v>1</v>
      </c>
      <c r="D271">
        <v>7</v>
      </c>
      <c r="E271" t="str">
        <f>"446"</f>
        <v>446</v>
      </c>
      <c r="F271" t="str">
        <f t="shared" si="26"/>
        <v>0000</v>
      </c>
    </row>
    <row r="272" spans="1:6">
      <c r="A272" t="str">
        <f>"T975-64"</f>
        <v>T975-64</v>
      </c>
      <c r="B272" t="str">
        <f t="shared" si="28"/>
        <v>VIA PARCO DEL PERALTO VICINO AL 30-</v>
      </c>
      <c r="C272" t="str">
        <f t="shared" si="27"/>
        <v>1</v>
      </c>
      <c r="D272">
        <v>7</v>
      </c>
      <c r="E272" t="str">
        <f>"447"</f>
        <v>447</v>
      </c>
      <c r="F272" t="str">
        <f>"0"</f>
        <v>0</v>
      </c>
    </row>
    <row r="273" spans="1:6">
      <c r="A273" t="str">
        <f>"T975-65"</f>
        <v>T975-65</v>
      </c>
      <c r="B273" t="str">
        <f t="shared" si="28"/>
        <v>VIA PARCO DEL PERALTO VICINO AL 30-</v>
      </c>
      <c r="C273" t="str">
        <f t="shared" si="27"/>
        <v>1</v>
      </c>
      <c r="D273">
        <v>6</v>
      </c>
      <c r="E273" t="str">
        <f>"17"</f>
        <v>17</v>
      </c>
      <c r="F273" t="str">
        <f t="shared" ref="F273:F304" si="29">"0000"</f>
        <v>0000</v>
      </c>
    </row>
    <row r="274" spans="1:6">
      <c r="A274" t="str">
        <f>"T975-66"</f>
        <v>T975-66</v>
      </c>
      <c r="B274" t="str">
        <f t="shared" si="28"/>
        <v>VIA PARCO DEL PERALTO VICINO AL 30-</v>
      </c>
      <c r="C274" t="str">
        <f t="shared" si="27"/>
        <v>1</v>
      </c>
      <c r="D274">
        <v>6</v>
      </c>
      <c r="E274" t="str">
        <f>"18"</f>
        <v>18</v>
      </c>
      <c r="F274" t="str">
        <f t="shared" si="29"/>
        <v>0000</v>
      </c>
    </row>
    <row r="275" spans="1:6">
      <c r="A275" t="str">
        <f>"T975-67"</f>
        <v>T975-67</v>
      </c>
      <c r="B275" t="str">
        <f t="shared" si="28"/>
        <v>VIA PARCO DEL PERALTO VICINO AL 30-</v>
      </c>
      <c r="C275" t="str">
        <f t="shared" ref="C275:C291" si="30">"1"</f>
        <v>1</v>
      </c>
      <c r="D275">
        <v>6</v>
      </c>
      <c r="E275" t="str">
        <f>"19"</f>
        <v>19</v>
      </c>
      <c r="F275" t="str">
        <f t="shared" si="29"/>
        <v>0000</v>
      </c>
    </row>
    <row r="276" spans="1:6">
      <c r="A276" t="str">
        <f>"T975-68"</f>
        <v>T975-68</v>
      </c>
      <c r="B276" t="str">
        <f t="shared" si="28"/>
        <v>VIA PARCO DEL PERALTO VICINO AL 30-</v>
      </c>
      <c r="C276" t="str">
        <f t="shared" si="30"/>
        <v>1</v>
      </c>
      <c r="D276">
        <v>6</v>
      </c>
      <c r="E276" t="str">
        <f>"564"</f>
        <v>564</v>
      </c>
      <c r="F276" t="str">
        <f t="shared" si="29"/>
        <v>0000</v>
      </c>
    </row>
    <row r="277" spans="1:6">
      <c r="A277" t="str">
        <f>"T975-69"</f>
        <v>T975-69</v>
      </c>
      <c r="B277" t="str">
        <f t="shared" si="28"/>
        <v>VIA PARCO DEL PERALTO VICINO AL 30-</v>
      </c>
      <c r="C277" t="str">
        <f t="shared" si="30"/>
        <v>1</v>
      </c>
      <c r="D277">
        <v>6</v>
      </c>
      <c r="E277" t="str">
        <f>"565"</f>
        <v>565</v>
      </c>
      <c r="F277" t="str">
        <f t="shared" si="29"/>
        <v>0000</v>
      </c>
    </row>
    <row r="278" spans="1:6">
      <c r="A278" t="str">
        <f>"T979-1"</f>
        <v>T979-1</v>
      </c>
      <c r="B278" t="str">
        <f>"VIA BARTOLOMEO BIANCO VICINO AL 4-"</f>
        <v>VIA BARTOLOMEO BIANCO VICINO AL 4-</v>
      </c>
      <c r="C278" t="str">
        <f t="shared" si="30"/>
        <v>1</v>
      </c>
      <c r="D278">
        <v>6</v>
      </c>
      <c r="E278" t="str">
        <f>"307"</f>
        <v>307</v>
      </c>
      <c r="F278" t="str">
        <f t="shared" si="29"/>
        <v>0000</v>
      </c>
    </row>
    <row r="279" spans="1:6">
      <c r="A279" t="str">
        <f>"T980-1"</f>
        <v>T980-1</v>
      </c>
      <c r="B279" t="str">
        <f>"VIA BARTOLOMEO BIANCO VICINO AL 2-"</f>
        <v>VIA BARTOLOMEO BIANCO VICINO AL 2-</v>
      </c>
      <c r="C279" t="str">
        <f t="shared" si="30"/>
        <v>1</v>
      </c>
      <c r="D279">
        <v>6</v>
      </c>
      <c r="E279" t="str">
        <f>"308"</f>
        <v>308</v>
      </c>
      <c r="F279" t="str">
        <f t="shared" si="29"/>
        <v>0000</v>
      </c>
    </row>
    <row r="280" spans="1:6">
      <c r="A280" t="str">
        <f>"T980-2"</f>
        <v>T980-2</v>
      </c>
      <c r="B280" t="str">
        <f>"VIA BARTOLOMEO BIANCO VICINO AL 2-"</f>
        <v>VIA BARTOLOMEO BIANCO VICINO AL 2-</v>
      </c>
      <c r="C280" t="str">
        <f t="shared" si="30"/>
        <v>1</v>
      </c>
      <c r="D280">
        <v>6</v>
      </c>
      <c r="E280" t="str">
        <f>"581"</f>
        <v>581</v>
      </c>
      <c r="F280" t="str">
        <f t="shared" si="29"/>
        <v>0000</v>
      </c>
    </row>
    <row r="281" spans="1:6">
      <c r="A281" t="str">
        <f>"T980-3"</f>
        <v>T980-3</v>
      </c>
      <c r="B281" t="str">
        <f>"VIA BARTOLOMEO BIANCO VICINO AL 2-"</f>
        <v>VIA BARTOLOMEO BIANCO VICINO AL 2-</v>
      </c>
      <c r="C281" t="str">
        <f t="shared" si="30"/>
        <v>1</v>
      </c>
      <c r="D281">
        <v>6</v>
      </c>
      <c r="E281" t="str">
        <f>"334"</f>
        <v>334</v>
      </c>
      <c r="F281" t="str">
        <f t="shared" si="29"/>
        <v>0000</v>
      </c>
    </row>
    <row r="282" spans="1:6">
      <c r="A282" t="str">
        <f>"T981-1"</f>
        <v>T981-1</v>
      </c>
      <c r="B282" t="str">
        <f>"VIA NAPOLI VICINO AL 78-"</f>
        <v>VIA NAPOLI VICINO AL 78-</v>
      </c>
      <c r="C282" t="str">
        <f t="shared" si="30"/>
        <v>1</v>
      </c>
      <c r="D282">
        <v>11</v>
      </c>
      <c r="E282" t="str">
        <f>"255"</f>
        <v>255</v>
      </c>
      <c r="F282" t="str">
        <f t="shared" si="29"/>
        <v>0000</v>
      </c>
    </row>
    <row r="283" spans="1:6">
      <c r="A283" t="str">
        <f>"T982-1"</f>
        <v>T982-1</v>
      </c>
      <c r="B283" t="str">
        <f>"VIA BARI VICINO AL 46-"</f>
        <v>VIA BARI VICINO AL 46-</v>
      </c>
      <c r="C283" t="str">
        <f t="shared" si="30"/>
        <v>1</v>
      </c>
      <c r="D283">
        <v>11</v>
      </c>
      <c r="E283" t="str">
        <f>"58"</f>
        <v>58</v>
      </c>
      <c r="F283" t="str">
        <f t="shared" si="29"/>
        <v>0000</v>
      </c>
    </row>
    <row r="284" spans="1:6">
      <c r="A284" t="str">
        <f>"T982-3"</f>
        <v>T982-3</v>
      </c>
      <c r="B284" t="str">
        <f>"VIA BARI VICINO AL 46-"</f>
        <v>VIA BARI VICINO AL 46-</v>
      </c>
      <c r="C284" t="str">
        <f t="shared" si="30"/>
        <v>1</v>
      </c>
      <c r="D284">
        <v>11</v>
      </c>
      <c r="E284" t="str">
        <f>"111"</f>
        <v>111</v>
      </c>
      <c r="F284" t="str">
        <f t="shared" si="29"/>
        <v>0000</v>
      </c>
    </row>
    <row r="285" spans="1:6">
      <c r="A285" t="str">
        <f>"T982-5"</f>
        <v>T982-5</v>
      </c>
      <c r="B285" t="str">
        <f>"VIA BARI VICINO AL 46-"</f>
        <v>VIA BARI VICINO AL 46-</v>
      </c>
      <c r="C285" t="str">
        <f t="shared" si="30"/>
        <v>1</v>
      </c>
      <c r="D285">
        <v>11</v>
      </c>
      <c r="E285" t="str">
        <f>"251"</f>
        <v>251</v>
      </c>
      <c r="F285" t="str">
        <f t="shared" si="29"/>
        <v>0000</v>
      </c>
    </row>
    <row r="286" spans="1:6">
      <c r="A286" t="str">
        <f>"T982-6"</f>
        <v>T982-6</v>
      </c>
      <c r="B286" t="str">
        <f>"VIA BARI VICINO AL 46-"</f>
        <v>VIA BARI VICINO AL 46-</v>
      </c>
      <c r="C286" t="str">
        <f t="shared" si="30"/>
        <v>1</v>
      </c>
      <c r="D286">
        <v>11</v>
      </c>
      <c r="E286" t="str">
        <f>"252"</f>
        <v>252</v>
      </c>
      <c r="F286" t="str">
        <f t="shared" si="29"/>
        <v>0000</v>
      </c>
    </row>
    <row r="287" spans="1:6">
      <c r="A287" t="str">
        <f>"T982-7"</f>
        <v>T982-7</v>
      </c>
      <c r="B287" t="str">
        <f>"VIA BARI VICINO AL 46-"</f>
        <v>VIA BARI VICINO AL 46-</v>
      </c>
      <c r="C287" t="str">
        <f t="shared" si="30"/>
        <v>1</v>
      </c>
      <c r="D287">
        <v>11</v>
      </c>
      <c r="E287" t="str">
        <f>"281"</f>
        <v>281</v>
      </c>
      <c r="F287" t="str">
        <f t="shared" si="29"/>
        <v>0000</v>
      </c>
    </row>
    <row r="288" spans="1:6">
      <c r="A288" t="str">
        <f>"T983-1"</f>
        <v>T983-1</v>
      </c>
      <c r="B288" t="str">
        <f>"VIA SAPRI VICINO AL 14-"</f>
        <v>VIA SAPRI VICINO AL 14-</v>
      </c>
      <c r="C288" t="str">
        <f t="shared" si="30"/>
        <v>1</v>
      </c>
      <c r="D288">
        <v>12</v>
      </c>
      <c r="E288" t="str">
        <f>"161"</f>
        <v>161</v>
      </c>
      <c r="F288" t="str">
        <f t="shared" si="29"/>
        <v>0000</v>
      </c>
    </row>
    <row r="289" spans="1:6">
      <c r="A289" t="str">
        <f>"T983-2"</f>
        <v>T983-2</v>
      </c>
      <c r="B289" t="str">
        <f>"VIA SAPRI VICINO AL 14-"</f>
        <v>VIA SAPRI VICINO AL 14-</v>
      </c>
      <c r="C289" t="str">
        <f t="shared" si="30"/>
        <v>1</v>
      </c>
      <c r="D289">
        <v>12</v>
      </c>
      <c r="E289" t="str">
        <f>"164"</f>
        <v>164</v>
      </c>
      <c r="F289" t="str">
        <f t="shared" si="29"/>
        <v>0000</v>
      </c>
    </row>
    <row r="290" spans="1:6">
      <c r="A290" t="str">
        <f>"T983-3"</f>
        <v>T983-3</v>
      </c>
      <c r="B290" t="str">
        <f>"VIA SAPRI VICINO AL 14-"</f>
        <v>VIA SAPRI VICINO AL 14-</v>
      </c>
      <c r="C290" t="str">
        <f t="shared" si="30"/>
        <v>1</v>
      </c>
      <c r="D290">
        <v>12</v>
      </c>
      <c r="E290" t="str">
        <f>"165"</f>
        <v>165</v>
      </c>
      <c r="F290" t="str">
        <f t="shared" si="29"/>
        <v>0000</v>
      </c>
    </row>
    <row r="291" spans="1:6">
      <c r="A291" t="str">
        <f>"T984-1"</f>
        <v>T984-1</v>
      </c>
      <c r="B291" t="str">
        <f>"VIA CLAUDIO CARCASSI VICINO AL 16R-"</f>
        <v>VIA CLAUDIO CARCASSI VICINO AL 16R-</v>
      </c>
      <c r="C291" t="str">
        <f t="shared" si="30"/>
        <v>1</v>
      </c>
      <c r="D291">
        <v>69</v>
      </c>
      <c r="E291" t="str">
        <f>"585"</f>
        <v>585</v>
      </c>
      <c r="F291" t="str">
        <f t="shared" si="29"/>
        <v>0000</v>
      </c>
    </row>
    <row r="292" spans="1:6">
      <c r="A292" t="str">
        <f>"T986-1"</f>
        <v>T986-1</v>
      </c>
      <c r="B292" t="str">
        <f>"VIA AGOSTINO BERTANI VICINO AL 8-"</f>
        <v>VIA AGOSTINO BERTANI VICINO AL 8-</v>
      </c>
      <c r="C292" t="str">
        <f>"GEA"</f>
        <v>GEA</v>
      </c>
      <c r="D292">
        <v>101</v>
      </c>
      <c r="E292" t="str">
        <f>"676"</f>
        <v>676</v>
      </c>
      <c r="F292" t="str">
        <f t="shared" si="29"/>
        <v>0000</v>
      </c>
    </row>
    <row r="293" spans="1:6">
      <c r="A293" t="str">
        <f>"T986-1"</f>
        <v>T986-1</v>
      </c>
      <c r="B293" t="str">
        <f>"VIA AGOSTINO BERTANI VICINO AL 8-"</f>
        <v>VIA AGOSTINO BERTANI VICINO AL 8-</v>
      </c>
      <c r="C293" t="str">
        <f t="shared" ref="C293:C322" si="31">"1"</f>
        <v>1</v>
      </c>
      <c r="D293">
        <v>46</v>
      </c>
      <c r="E293" t="str">
        <f>"676"</f>
        <v>676</v>
      </c>
      <c r="F293" t="str">
        <f t="shared" si="29"/>
        <v>0000</v>
      </c>
    </row>
    <row r="294" spans="1:6">
      <c r="A294" t="str">
        <f>"T987-1"</f>
        <v>T987-1</v>
      </c>
      <c r="B294" t="str">
        <f>"PIAZZA CAVOUR VICINO AL 4-"</f>
        <v>PIAZZA CAVOUR VICINO AL 4-</v>
      </c>
      <c r="C294" t="str">
        <f t="shared" si="31"/>
        <v>1</v>
      </c>
      <c r="D294">
        <v>66</v>
      </c>
      <c r="E294" t="str">
        <f>"142"</f>
        <v>142</v>
      </c>
      <c r="F294" t="str">
        <f t="shared" si="29"/>
        <v>0000</v>
      </c>
    </row>
    <row r="295" spans="1:6">
      <c r="A295" t="str">
        <f>"T988-1"</f>
        <v>T988-1</v>
      </c>
      <c r="B295" t="str">
        <f t="shared" ref="B295:B301" si="32">"VIA DELLA MARINA VICINO AL 5R-"</f>
        <v>VIA DELLA MARINA VICINO AL 5R-</v>
      </c>
      <c r="C295" t="str">
        <f t="shared" si="31"/>
        <v>1</v>
      </c>
      <c r="D295">
        <v>67</v>
      </c>
      <c r="E295" t="str">
        <f>"676"</f>
        <v>676</v>
      </c>
      <c r="F295" t="str">
        <f t="shared" si="29"/>
        <v>0000</v>
      </c>
    </row>
    <row r="296" spans="1:6">
      <c r="A296" t="str">
        <f>"T988-2"</f>
        <v>T988-2</v>
      </c>
      <c r="B296" t="str">
        <f t="shared" si="32"/>
        <v>VIA DELLA MARINA VICINO AL 5R-</v>
      </c>
      <c r="C296" t="str">
        <f t="shared" si="31"/>
        <v>1</v>
      </c>
      <c r="D296">
        <v>67</v>
      </c>
      <c r="E296" t="str">
        <f>"99999"</f>
        <v>99999</v>
      </c>
      <c r="F296" t="str">
        <f t="shared" si="29"/>
        <v>0000</v>
      </c>
    </row>
    <row r="297" spans="1:6">
      <c r="A297" t="str">
        <f>"T988-3"</f>
        <v>T988-3</v>
      </c>
      <c r="B297" t="str">
        <f t="shared" si="32"/>
        <v>VIA DELLA MARINA VICINO AL 5R-</v>
      </c>
      <c r="C297" t="str">
        <f t="shared" si="31"/>
        <v>1</v>
      </c>
      <c r="D297">
        <v>67</v>
      </c>
      <c r="E297" t="str">
        <f>"817"</f>
        <v>817</v>
      </c>
      <c r="F297" t="str">
        <f t="shared" si="29"/>
        <v>0000</v>
      </c>
    </row>
    <row r="298" spans="1:6">
      <c r="A298" t="str">
        <f>"T988-4"</f>
        <v>T988-4</v>
      </c>
      <c r="B298" t="str">
        <f t="shared" si="32"/>
        <v>VIA DELLA MARINA VICINO AL 5R-</v>
      </c>
      <c r="C298" t="str">
        <f t="shared" si="31"/>
        <v>1</v>
      </c>
      <c r="D298">
        <v>67</v>
      </c>
      <c r="E298" t="str">
        <f>"99999"</f>
        <v>99999</v>
      </c>
      <c r="F298" t="str">
        <f t="shared" si="29"/>
        <v>0000</v>
      </c>
    </row>
    <row r="299" spans="1:6">
      <c r="A299" t="str">
        <f>"T989-1"</f>
        <v>T989-1</v>
      </c>
      <c r="B299" t="str">
        <f t="shared" si="32"/>
        <v>VIA DELLA MARINA VICINO AL 5R-</v>
      </c>
      <c r="C299" t="str">
        <f t="shared" si="31"/>
        <v>1</v>
      </c>
      <c r="D299">
        <v>67</v>
      </c>
      <c r="E299" t="str">
        <f>"675"</f>
        <v>675</v>
      </c>
      <c r="F299" t="str">
        <f t="shared" si="29"/>
        <v>0000</v>
      </c>
    </row>
    <row r="300" spans="1:6">
      <c r="A300" t="str">
        <f>"T989-2"</f>
        <v>T989-2</v>
      </c>
      <c r="B300" t="str">
        <f t="shared" si="32"/>
        <v>VIA DELLA MARINA VICINO AL 5R-</v>
      </c>
      <c r="C300" t="str">
        <f t="shared" si="31"/>
        <v>1</v>
      </c>
      <c r="D300">
        <v>67</v>
      </c>
      <c r="E300" t="str">
        <f>"676"</f>
        <v>676</v>
      </c>
      <c r="F300" t="str">
        <f t="shared" si="29"/>
        <v>0000</v>
      </c>
    </row>
    <row r="301" spans="1:6">
      <c r="A301" t="str">
        <f>"T989-3"</f>
        <v>T989-3</v>
      </c>
      <c r="B301" t="str">
        <f t="shared" si="32"/>
        <v>VIA DELLA MARINA VICINO AL 5R-</v>
      </c>
      <c r="C301" t="str">
        <f t="shared" si="31"/>
        <v>1</v>
      </c>
      <c r="D301">
        <v>67</v>
      </c>
      <c r="E301" t="str">
        <f>"99999"</f>
        <v>99999</v>
      </c>
      <c r="F301" t="str">
        <f t="shared" si="29"/>
        <v>0000</v>
      </c>
    </row>
    <row r="302" spans="1:6">
      <c r="A302" t="str">
        <f>"T990-1"</f>
        <v>T990-1</v>
      </c>
      <c r="B302" t="str">
        <f>"VICO DI SAN FILIPPO VICINO AL 12-"</f>
        <v>VICO DI SAN FILIPPO VICINO AL 12-</v>
      </c>
      <c r="C302" t="str">
        <f t="shared" si="31"/>
        <v>1</v>
      </c>
      <c r="D302">
        <v>45</v>
      </c>
      <c r="E302" t="str">
        <f>"8"</f>
        <v>8</v>
      </c>
      <c r="F302" t="str">
        <f t="shared" si="29"/>
        <v>0000</v>
      </c>
    </row>
    <row r="303" spans="1:6">
      <c r="A303" t="str">
        <f>"T991-9"</f>
        <v>T991-9</v>
      </c>
      <c r="B303" t="str">
        <f>"VICO CHIUSO CINQUE SANTI VICINO AL 16-"</f>
        <v>VICO CHIUSO CINQUE SANTI VICINO AL 16-</v>
      </c>
      <c r="C303" t="str">
        <f t="shared" si="31"/>
        <v>1</v>
      </c>
      <c r="D303">
        <v>31</v>
      </c>
      <c r="E303" t="str">
        <f>"1118"</f>
        <v>1118</v>
      </c>
      <c r="F303" t="str">
        <f t="shared" si="29"/>
        <v>0000</v>
      </c>
    </row>
    <row r="304" spans="1:6">
      <c r="A304" t="str">
        <f>"T992-2"</f>
        <v>T992-2</v>
      </c>
      <c r="B304" t="str">
        <f t="shared" ref="B304:B312" si="33">"VIA SAPRI VICINO AL 40-"</f>
        <v>VIA SAPRI VICINO AL 40-</v>
      </c>
      <c r="C304" t="str">
        <f t="shared" si="31"/>
        <v>1</v>
      </c>
      <c r="D304">
        <v>12</v>
      </c>
      <c r="E304" t="str">
        <f>"163"</f>
        <v>163</v>
      </c>
      <c r="F304" t="str">
        <f t="shared" si="29"/>
        <v>0000</v>
      </c>
    </row>
    <row r="305" spans="1:6">
      <c r="A305" t="str">
        <f>"T992-3"</f>
        <v>T992-3</v>
      </c>
      <c r="B305" t="str">
        <f t="shared" si="33"/>
        <v>VIA SAPRI VICINO AL 40-</v>
      </c>
      <c r="C305" t="str">
        <f t="shared" si="31"/>
        <v>1</v>
      </c>
      <c r="D305">
        <v>12</v>
      </c>
      <c r="E305" t="str">
        <f>"150"</f>
        <v>150</v>
      </c>
      <c r="F305" t="str">
        <f t="shared" ref="F305:F336" si="34">"0000"</f>
        <v>0000</v>
      </c>
    </row>
    <row r="306" spans="1:6">
      <c r="A306" t="str">
        <f>"T992-4"</f>
        <v>T992-4</v>
      </c>
      <c r="B306" t="str">
        <f t="shared" si="33"/>
        <v>VIA SAPRI VICINO AL 40-</v>
      </c>
      <c r="C306" t="str">
        <f t="shared" si="31"/>
        <v>1</v>
      </c>
      <c r="D306">
        <v>12</v>
      </c>
      <c r="E306" t="str">
        <f>"191"</f>
        <v>191</v>
      </c>
      <c r="F306" t="str">
        <f t="shared" si="34"/>
        <v>0000</v>
      </c>
    </row>
    <row r="307" spans="1:6">
      <c r="A307" t="str">
        <f>"T992-5"</f>
        <v>T992-5</v>
      </c>
      <c r="B307" t="str">
        <f t="shared" si="33"/>
        <v>VIA SAPRI VICINO AL 40-</v>
      </c>
      <c r="C307" t="str">
        <f t="shared" si="31"/>
        <v>1</v>
      </c>
      <c r="D307">
        <v>12</v>
      </c>
      <c r="E307" t="str">
        <f>"165"</f>
        <v>165</v>
      </c>
      <c r="F307" t="str">
        <f t="shared" si="34"/>
        <v>0000</v>
      </c>
    </row>
    <row r="308" spans="1:6">
      <c r="A308" t="str">
        <f>"T992-7"</f>
        <v>T992-7</v>
      </c>
      <c r="B308" t="str">
        <f t="shared" si="33"/>
        <v>VIA SAPRI VICINO AL 40-</v>
      </c>
      <c r="C308" t="str">
        <f t="shared" si="31"/>
        <v>1</v>
      </c>
      <c r="D308">
        <v>31</v>
      </c>
      <c r="E308" t="str">
        <f>"6"</f>
        <v>6</v>
      </c>
      <c r="F308" t="str">
        <f t="shared" si="34"/>
        <v>0000</v>
      </c>
    </row>
    <row r="309" spans="1:6">
      <c r="A309" t="str">
        <f>"T992-8"</f>
        <v>T992-8</v>
      </c>
      <c r="B309" t="str">
        <f t="shared" si="33"/>
        <v>VIA SAPRI VICINO AL 40-</v>
      </c>
      <c r="C309" t="str">
        <f t="shared" si="31"/>
        <v>1</v>
      </c>
      <c r="D309">
        <v>31</v>
      </c>
      <c r="E309" t="str">
        <f>"122"</f>
        <v>122</v>
      </c>
      <c r="F309" t="str">
        <f t="shared" si="34"/>
        <v>0000</v>
      </c>
    </row>
    <row r="310" spans="1:6">
      <c r="A310" t="str">
        <f>"T992-9"</f>
        <v>T992-9</v>
      </c>
      <c r="B310" t="str">
        <f t="shared" si="33"/>
        <v>VIA SAPRI VICINO AL 40-</v>
      </c>
      <c r="C310" t="str">
        <f t="shared" si="31"/>
        <v>1</v>
      </c>
      <c r="D310">
        <v>31</v>
      </c>
      <c r="E310" t="str">
        <f>"743"</f>
        <v>743</v>
      </c>
      <c r="F310" t="str">
        <f t="shared" si="34"/>
        <v>0000</v>
      </c>
    </row>
    <row r="311" spans="1:6">
      <c r="A311" t="str">
        <f>"T992-10"</f>
        <v>T992-10</v>
      </c>
      <c r="B311" t="str">
        <f t="shared" si="33"/>
        <v>VIA SAPRI VICINO AL 40-</v>
      </c>
      <c r="C311" t="str">
        <f t="shared" si="31"/>
        <v>1</v>
      </c>
      <c r="D311">
        <v>31</v>
      </c>
      <c r="E311" t="str">
        <f>"744"</f>
        <v>744</v>
      </c>
      <c r="F311" t="str">
        <f t="shared" si="34"/>
        <v>0000</v>
      </c>
    </row>
    <row r="312" spans="1:6">
      <c r="A312" t="str">
        <f>"T992-11"</f>
        <v>T992-11</v>
      </c>
      <c r="B312" t="str">
        <f t="shared" si="33"/>
        <v>VIA SAPRI VICINO AL 40-</v>
      </c>
      <c r="C312" t="str">
        <f t="shared" si="31"/>
        <v>1</v>
      </c>
      <c r="D312">
        <v>31</v>
      </c>
      <c r="E312" t="str">
        <f>"127"</f>
        <v>127</v>
      </c>
      <c r="F312" t="str">
        <f t="shared" si="34"/>
        <v>0000</v>
      </c>
    </row>
    <row r="313" spans="1:6">
      <c r="A313" t="str">
        <f>"T993-2"</f>
        <v>T993-2</v>
      </c>
      <c r="B313" t="str">
        <f>"VIALE QUATTRO NOVEMBRE VICINO AL 6-"</f>
        <v>VIALE QUATTRO NOVEMBRE VICINO AL 6-</v>
      </c>
      <c r="C313" t="str">
        <f t="shared" si="31"/>
        <v>1</v>
      </c>
      <c r="D313">
        <v>69</v>
      </c>
      <c r="E313" t="str">
        <f>"584"</f>
        <v>584</v>
      </c>
      <c r="F313" t="str">
        <f t="shared" si="34"/>
        <v>0000</v>
      </c>
    </row>
    <row r="314" spans="1:6">
      <c r="A314" t="str">
        <f>"T993-3"</f>
        <v>T993-3</v>
      </c>
      <c r="B314" t="str">
        <f>"VIALE QUATTRO NOVEMBRE VICINO AL 6-"</f>
        <v>VIALE QUATTRO NOVEMBRE VICINO AL 6-</v>
      </c>
      <c r="C314" t="str">
        <f t="shared" si="31"/>
        <v>1</v>
      </c>
      <c r="D314">
        <v>69</v>
      </c>
      <c r="E314" t="str">
        <f>"897"</f>
        <v>897</v>
      </c>
      <c r="F314" t="str">
        <f t="shared" si="34"/>
        <v>0000</v>
      </c>
    </row>
    <row r="315" spans="1:6">
      <c r="A315" t="str">
        <f>"T993-4"</f>
        <v>T993-4</v>
      </c>
      <c r="B315" t="str">
        <f>"VIALE QUATTRO NOVEMBRE VICINO AL 6-"</f>
        <v>VIALE QUATTRO NOVEMBRE VICINO AL 6-</v>
      </c>
      <c r="C315" t="str">
        <f t="shared" si="31"/>
        <v>1</v>
      </c>
      <c r="D315">
        <v>69</v>
      </c>
      <c r="E315" t="str">
        <f>"898"</f>
        <v>898</v>
      </c>
      <c r="F315" t="str">
        <f t="shared" si="34"/>
        <v>0000</v>
      </c>
    </row>
    <row r="316" spans="1:6">
      <c r="A316" t="str">
        <f>"T993-5"</f>
        <v>T993-5</v>
      </c>
      <c r="B316" t="str">
        <f>"VIALE QUATTRO NOVEMBRE VICINO AL 6-"</f>
        <v>VIALE QUATTRO NOVEMBRE VICINO AL 6-</v>
      </c>
      <c r="C316" t="str">
        <f t="shared" si="31"/>
        <v>1</v>
      </c>
      <c r="D316">
        <v>69</v>
      </c>
      <c r="E316" t="str">
        <f>"899"</f>
        <v>899</v>
      </c>
      <c r="F316" t="str">
        <f t="shared" si="34"/>
        <v>0000</v>
      </c>
    </row>
    <row r="317" spans="1:6">
      <c r="A317" t="str">
        <f>"T993-6"</f>
        <v>T993-6</v>
      </c>
      <c r="B317" t="str">
        <f>"VIALE QUATTRO NOVEMBRE VICINO AL 6-"</f>
        <v>VIALE QUATTRO NOVEMBRE VICINO AL 6-</v>
      </c>
      <c r="C317" t="str">
        <f t="shared" si="31"/>
        <v>1</v>
      </c>
      <c r="D317">
        <v>69</v>
      </c>
      <c r="E317" t="str">
        <f>"900"</f>
        <v>900</v>
      </c>
      <c r="F317" t="str">
        <f t="shared" si="34"/>
        <v>0000</v>
      </c>
    </row>
    <row r="318" spans="1:6">
      <c r="A318" t="str">
        <f>"T995-1"</f>
        <v>T995-1</v>
      </c>
      <c r="B318" t="str">
        <f>"VIA VESUVIO VICINO AL 8-"</f>
        <v>VIA VESUVIO VICINO AL 8-</v>
      </c>
      <c r="C318" t="str">
        <f t="shared" si="31"/>
        <v>1</v>
      </c>
      <c r="D318">
        <v>6</v>
      </c>
      <c r="E318" t="str">
        <f>"99999"</f>
        <v>99999</v>
      </c>
      <c r="F318" t="str">
        <f t="shared" si="34"/>
        <v>0000</v>
      </c>
    </row>
    <row r="319" spans="1:6">
      <c r="A319" t="str">
        <f>"T997-2"</f>
        <v>T997-2</v>
      </c>
      <c r="B319" t="str">
        <f>"VIA GIOVANNI BOINE VICINO AL 4-"</f>
        <v>VIA GIOVANNI BOINE VICINO AL 4-</v>
      </c>
      <c r="C319" t="str">
        <f t="shared" si="31"/>
        <v>1</v>
      </c>
      <c r="D319">
        <v>12</v>
      </c>
      <c r="E319" t="str">
        <f>"108"</f>
        <v>108</v>
      </c>
      <c r="F319" t="str">
        <f t="shared" si="34"/>
        <v>0000</v>
      </c>
    </row>
    <row r="320" spans="1:6">
      <c r="A320" t="str">
        <f>"T997-4"</f>
        <v>T997-4</v>
      </c>
      <c r="B320" t="str">
        <f>"VIA GIOVANNI BOINE VICINO AL 4-"</f>
        <v>VIA GIOVANNI BOINE VICINO AL 4-</v>
      </c>
      <c r="C320" t="str">
        <f t="shared" si="31"/>
        <v>1</v>
      </c>
      <c r="D320">
        <v>12</v>
      </c>
      <c r="E320" t="str">
        <f>"674"</f>
        <v>674</v>
      </c>
      <c r="F320" t="str">
        <f t="shared" si="34"/>
        <v>0000</v>
      </c>
    </row>
    <row r="321" spans="1:6">
      <c r="A321" t="str">
        <f>"T997-5"</f>
        <v>T997-5</v>
      </c>
      <c r="B321" t="str">
        <f>"VIA GIOVANNI BOINE VICINO AL 4-"</f>
        <v>VIA GIOVANNI BOINE VICINO AL 4-</v>
      </c>
      <c r="C321" t="str">
        <f t="shared" si="31"/>
        <v>1</v>
      </c>
      <c r="D321">
        <v>12</v>
      </c>
      <c r="E321" t="str">
        <f>"675"</f>
        <v>675</v>
      </c>
      <c r="F321" t="str">
        <f t="shared" si="34"/>
        <v>0000</v>
      </c>
    </row>
    <row r="322" spans="1:6">
      <c r="A322" t="str">
        <f>"T998-1"</f>
        <v>T998-1</v>
      </c>
      <c r="B322" t="str">
        <f>"VIALE SAULI VICINO AL 34-"</f>
        <v>VIALE SAULI VICINO AL 34-</v>
      </c>
      <c r="C322" t="str">
        <f t="shared" si="31"/>
        <v>1</v>
      </c>
      <c r="D322">
        <v>69</v>
      </c>
      <c r="E322" t="str">
        <f>"551"</f>
        <v>551</v>
      </c>
      <c r="F322" t="str">
        <f t="shared" si="34"/>
        <v>0000</v>
      </c>
    </row>
    <row r="323" spans="1:6">
      <c r="A323" t="str">
        <f>"T999-1"</f>
        <v>T999-1</v>
      </c>
      <c r="B323" t="str">
        <f>"VIA CLAUDIO CARCASSI VICINO AL 16R-"</f>
        <v>VIA CLAUDIO CARCASSI VICINO AL 16R-</v>
      </c>
      <c r="C323" t="str">
        <f>"GEA"</f>
        <v>GEA</v>
      </c>
      <c r="D323">
        <v>106</v>
      </c>
      <c r="E323" t="str">
        <f>"54"</f>
        <v>54</v>
      </c>
      <c r="F323" t="str">
        <f t="shared" si="34"/>
        <v>0000</v>
      </c>
    </row>
    <row r="324" spans="1:6">
      <c r="A324" t="str">
        <f>"T999-2"</f>
        <v>T999-2</v>
      </c>
      <c r="B324" t="str">
        <f>"VIA CLAUDIO CARCASSI VICINO AL 16R-"</f>
        <v>VIA CLAUDIO CARCASSI VICINO AL 16R-</v>
      </c>
      <c r="C324" t="str">
        <f t="shared" ref="C324:C355" si="35">"1"</f>
        <v>1</v>
      </c>
      <c r="D324">
        <v>69</v>
      </c>
      <c r="E324" t="str">
        <f>"163"</f>
        <v>163</v>
      </c>
      <c r="F324" t="str">
        <f t="shared" si="34"/>
        <v>0000</v>
      </c>
    </row>
    <row r="325" spans="1:6">
      <c r="A325" t="str">
        <f>"T999-3"</f>
        <v>T999-3</v>
      </c>
      <c r="B325" t="str">
        <f>"VIA CLAUDIO CARCASSI VICINO AL 16R-"</f>
        <v>VIA CLAUDIO CARCASSI VICINO AL 16R-</v>
      </c>
      <c r="C325" t="str">
        <f t="shared" si="35"/>
        <v>1</v>
      </c>
      <c r="D325">
        <v>69</v>
      </c>
      <c r="E325" t="str">
        <f>"546"</f>
        <v>546</v>
      </c>
      <c r="F325" t="str">
        <f t="shared" si="34"/>
        <v>0000</v>
      </c>
    </row>
    <row r="326" spans="1:6">
      <c r="A326" t="str">
        <f>"T999-4"</f>
        <v>T999-4</v>
      </c>
      <c r="B326" t="str">
        <f>"VIA CLAUDIO CARCASSI VICINO AL 16R-"</f>
        <v>VIA CLAUDIO CARCASSI VICINO AL 16R-</v>
      </c>
      <c r="C326" t="str">
        <f t="shared" si="35"/>
        <v>1</v>
      </c>
      <c r="D326">
        <v>69</v>
      </c>
      <c r="E326" t="str">
        <f>"586"</f>
        <v>586</v>
      </c>
      <c r="F326" t="str">
        <f t="shared" si="34"/>
        <v>0000</v>
      </c>
    </row>
    <row r="327" spans="1:6">
      <c r="A327" t="str">
        <f>"T1000-1"</f>
        <v>T1000-1</v>
      </c>
      <c r="B327" t="str">
        <f>"VIA ANTON M MARAGLIANO VICINO AL 10-"</f>
        <v>VIA ANTON M MARAGLIANO VICINO AL 10-</v>
      </c>
      <c r="C327" t="str">
        <f t="shared" si="35"/>
        <v>1</v>
      </c>
      <c r="D327">
        <v>84</v>
      </c>
      <c r="E327" t="str">
        <f>"52"</f>
        <v>52</v>
      </c>
      <c r="F327" t="str">
        <f t="shared" si="34"/>
        <v>0000</v>
      </c>
    </row>
    <row r="328" spans="1:6">
      <c r="A328" t="str">
        <f>"T1002-1"</f>
        <v>T1002-1</v>
      </c>
      <c r="B328" t="str">
        <f>"VIA UMBERTO FRACCHIA VICINO AL 2-"</f>
        <v>VIA UMBERTO FRACCHIA VICINO AL 2-</v>
      </c>
      <c r="C328" t="str">
        <f t="shared" si="35"/>
        <v>1</v>
      </c>
      <c r="D328">
        <v>12</v>
      </c>
      <c r="E328" t="str">
        <f>"36"</f>
        <v>36</v>
      </c>
      <c r="F328" t="str">
        <f t="shared" si="34"/>
        <v>0000</v>
      </c>
    </row>
    <row r="329" spans="1:6">
      <c r="A329" t="str">
        <f>"T1002-2"</f>
        <v>T1002-2</v>
      </c>
      <c r="B329" t="str">
        <f>"VIA UMBERTO FRACCHIA VICINO AL 2-"</f>
        <v>VIA UMBERTO FRACCHIA VICINO AL 2-</v>
      </c>
      <c r="C329" t="str">
        <f t="shared" si="35"/>
        <v>1</v>
      </c>
      <c r="D329">
        <v>12</v>
      </c>
      <c r="E329" t="str">
        <f>"47"</f>
        <v>47</v>
      </c>
      <c r="F329" t="str">
        <f t="shared" si="34"/>
        <v>0000</v>
      </c>
    </row>
    <row r="330" spans="1:6">
      <c r="A330" t="str">
        <f>"T1002-3"</f>
        <v>T1002-3</v>
      </c>
      <c r="B330" t="str">
        <f>"VIA UMBERTO FRACCHIA VICINO AL 2-"</f>
        <v>VIA UMBERTO FRACCHIA VICINO AL 2-</v>
      </c>
      <c r="C330" t="str">
        <f t="shared" si="35"/>
        <v>1</v>
      </c>
      <c r="D330">
        <v>12</v>
      </c>
      <c r="E330" t="str">
        <f>"276"</f>
        <v>276</v>
      </c>
      <c r="F330" t="str">
        <f t="shared" si="34"/>
        <v>0000</v>
      </c>
    </row>
    <row r="331" spans="1:6">
      <c r="A331" t="str">
        <f>"T1002-4"</f>
        <v>T1002-4</v>
      </c>
      <c r="B331" t="str">
        <f>"VIA UMBERTO FRACCHIA VICINO AL 2-"</f>
        <v>VIA UMBERTO FRACCHIA VICINO AL 2-</v>
      </c>
      <c r="C331" t="str">
        <f t="shared" si="35"/>
        <v>1</v>
      </c>
      <c r="D331">
        <v>12</v>
      </c>
      <c r="E331" t="str">
        <f>"279"</f>
        <v>279</v>
      </c>
      <c r="F331" t="str">
        <f t="shared" si="34"/>
        <v>0000</v>
      </c>
    </row>
    <row r="332" spans="1:6">
      <c r="A332" t="str">
        <f>"T1003-1"</f>
        <v>T1003-1</v>
      </c>
      <c r="B332" t="str">
        <f>"VIA GIOVANNI BOINE VICINO AL 10-"</f>
        <v>VIA GIOVANNI BOINE VICINO AL 10-</v>
      </c>
      <c r="C332" t="str">
        <f t="shared" si="35"/>
        <v>1</v>
      </c>
      <c r="D332">
        <v>12</v>
      </c>
      <c r="E332" t="str">
        <f>"278"</f>
        <v>278</v>
      </c>
      <c r="F332" t="str">
        <f t="shared" si="34"/>
        <v>0000</v>
      </c>
    </row>
    <row r="333" spans="1:6">
      <c r="A333" t="str">
        <f>"T1003-2"</f>
        <v>T1003-2</v>
      </c>
      <c r="B333" t="str">
        <f>"VIA GIOVANNI BOINE VICINO AL 10-"</f>
        <v>VIA GIOVANNI BOINE VICINO AL 10-</v>
      </c>
      <c r="C333" t="str">
        <f t="shared" si="35"/>
        <v>1</v>
      </c>
      <c r="D333">
        <v>12</v>
      </c>
      <c r="E333" t="str">
        <f>"286"</f>
        <v>286</v>
      </c>
      <c r="F333" t="str">
        <f t="shared" si="34"/>
        <v>0000</v>
      </c>
    </row>
    <row r="334" spans="1:6">
      <c r="A334" t="str">
        <f>"T1003-3"</f>
        <v>T1003-3</v>
      </c>
      <c r="B334" t="str">
        <f>"VIA GIOVANNI BOINE VICINO AL 10-"</f>
        <v>VIA GIOVANNI BOINE VICINO AL 10-</v>
      </c>
      <c r="C334" t="str">
        <f t="shared" si="35"/>
        <v>1</v>
      </c>
      <c r="D334">
        <v>12</v>
      </c>
      <c r="E334" t="str">
        <f>"295"</f>
        <v>295</v>
      </c>
      <c r="F334" t="str">
        <f t="shared" si="34"/>
        <v>0000</v>
      </c>
    </row>
    <row r="335" spans="1:6">
      <c r="A335" t="str">
        <f>"T1004-1"</f>
        <v>T1004-1</v>
      </c>
      <c r="B335" t="str">
        <f t="shared" ref="B335:B342" si="36">"VIA ACQUARONE VICINO AL 52-"</f>
        <v>VIA ACQUARONE VICINO AL 52-</v>
      </c>
      <c r="C335" t="str">
        <f t="shared" si="35"/>
        <v>1</v>
      </c>
      <c r="D335">
        <v>17</v>
      </c>
      <c r="E335" t="str">
        <f>"708"</f>
        <v>708</v>
      </c>
      <c r="F335" t="str">
        <f t="shared" si="34"/>
        <v>0000</v>
      </c>
    </row>
    <row r="336" spans="1:6">
      <c r="A336" t="str">
        <f>"T1004-2"</f>
        <v>T1004-2</v>
      </c>
      <c r="B336" t="str">
        <f t="shared" si="36"/>
        <v>VIA ACQUARONE VICINO AL 52-</v>
      </c>
      <c r="C336" t="str">
        <f t="shared" si="35"/>
        <v>1</v>
      </c>
      <c r="D336">
        <v>17</v>
      </c>
      <c r="E336" t="str">
        <f>"355"</f>
        <v>355</v>
      </c>
      <c r="F336" t="str">
        <f t="shared" si="34"/>
        <v>0000</v>
      </c>
    </row>
    <row r="337" spans="1:6">
      <c r="A337" t="str">
        <f>"T1004-3"</f>
        <v>T1004-3</v>
      </c>
      <c r="B337" t="str">
        <f t="shared" si="36"/>
        <v>VIA ACQUARONE VICINO AL 52-</v>
      </c>
      <c r="C337" t="str">
        <f t="shared" si="35"/>
        <v>1</v>
      </c>
      <c r="D337">
        <v>17</v>
      </c>
      <c r="E337" t="str">
        <f>"768"</f>
        <v>768</v>
      </c>
      <c r="F337" t="str">
        <f t="shared" ref="F337:F368" si="37">"0000"</f>
        <v>0000</v>
      </c>
    </row>
    <row r="338" spans="1:6">
      <c r="A338" t="str">
        <f>"T1004-4"</f>
        <v>T1004-4</v>
      </c>
      <c r="B338" t="str">
        <f t="shared" si="36"/>
        <v>VIA ACQUARONE VICINO AL 52-</v>
      </c>
      <c r="C338" t="str">
        <f t="shared" si="35"/>
        <v>1</v>
      </c>
      <c r="D338">
        <v>17</v>
      </c>
      <c r="E338" t="str">
        <f>"763"</f>
        <v>763</v>
      </c>
      <c r="F338" t="str">
        <f t="shared" si="37"/>
        <v>0000</v>
      </c>
    </row>
    <row r="339" spans="1:6">
      <c r="A339" t="str">
        <f>"T1004-5"</f>
        <v>T1004-5</v>
      </c>
      <c r="B339" t="str">
        <f t="shared" si="36"/>
        <v>VIA ACQUARONE VICINO AL 52-</v>
      </c>
      <c r="C339" t="str">
        <f t="shared" si="35"/>
        <v>1</v>
      </c>
      <c r="D339">
        <v>17</v>
      </c>
      <c r="E339" t="str">
        <f>"382"</f>
        <v>382</v>
      </c>
      <c r="F339" t="str">
        <f t="shared" si="37"/>
        <v>0000</v>
      </c>
    </row>
    <row r="340" spans="1:6">
      <c r="A340" t="str">
        <f>"T1005-1"</f>
        <v>T1005-1</v>
      </c>
      <c r="B340" t="str">
        <f t="shared" si="36"/>
        <v>VIA ACQUARONE VICINO AL 52-</v>
      </c>
      <c r="C340" t="str">
        <f t="shared" si="35"/>
        <v>1</v>
      </c>
      <c r="D340">
        <v>17</v>
      </c>
      <c r="E340" t="str">
        <f>"708"</f>
        <v>708</v>
      </c>
      <c r="F340" t="str">
        <f t="shared" si="37"/>
        <v>0000</v>
      </c>
    </row>
    <row r="341" spans="1:6">
      <c r="A341" t="str">
        <f>"T1005-2"</f>
        <v>T1005-2</v>
      </c>
      <c r="B341" t="str">
        <f t="shared" si="36"/>
        <v>VIA ACQUARONE VICINO AL 52-</v>
      </c>
      <c r="C341" t="str">
        <f t="shared" si="35"/>
        <v>1</v>
      </c>
      <c r="D341">
        <v>17</v>
      </c>
      <c r="E341" t="str">
        <f>"763"</f>
        <v>763</v>
      </c>
      <c r="F341" t="str">
        <f t="shared" si="37"/>
        <v>0000</v>
      </c>
    </row>
    <row r="342" spans="1:6">
      <c r="A342" t="str">
        <f>"T1005-4"</f>
        <v>T1005-4</v>
      </c>
      <c r="B342" t="str">
        <f t="shared" si="36"/>
        <v>VIA ACQUARONE VICINO AL 52-</v>
      </c>
      <c r="C342" t="str">
        <f t="shared" si="35"/>
        <v>1</v>
      </c>
      <c r="D342">
        <v>17</v>
      </c>
      <c r="E342" t="str">
        <f>"1141"</f>
        <v>1141</v>
      </c>
      <c r="F342" t="str">
        <f t="shared" si="37"/>
        <v>0000</v>
      </c>
    </row>
    <row r="343" spans="1:6">
      <c r="A343" t="str">
        <f>"T1006-1"</f>
        <v>T1006-1</v>
      </c>
      <c r="B343" t="str">
        <f t="shared" ref="B343:B372" si="38">"VIA ACHILLE PAPA VICINO AL 1-"</f>
        <v>VIA ACHILLE PAPA VICINO AL 1-</v>
      </c>
      <c r="C343" t="str">
        <f t="shared" si="35"/>
        <v>1</v>
      </c>
      <c r="D343">
        <v>13</v>
      </c>
      <c r="E343" t="str">
        <f>"3"</f>
        <v>3</v>
      </c>
      <c r="F343" t="str">
        <f t="shared" si="37"/>
        <v>0000</v>
      </c>
    </row>
    <row r="344" spans="1:6">
      <c r="A344" t="str">
        <f>"T1006-4"</f>
        <v>T1006-4</v>
      </c>
      <c r="B344" t="str">
        <f t="shared" si="38"/>
        <v>VIA ACHILLE PAPA VICINO AL 1-</v>
      </c>
      <c r="C344" t="str">
        <f t="shared" si="35"/>
        <v>1</v>
      </c>
      <c r="D344">
        <v>13</v>
      </c>
      <c r="E344" t="str">
        <f>"438"</f>
        <v>438</v>
      </c>
      <c r="F344" t="str">
        <f t="shared" si="37"/>
        <v>0000</v>
      </c>
    </row>
    <row r="345" spans="1:6">
      <c r="A345" t="str">
        <f>"T1006-5"</f>
        <v>T1006-5</v>
      </c>
      <c r="B345" t="str">
        <f t="shared" si="38"/>
        <v>VIA ACHILLE PAPA VICINO AL 1-</v>
      </c>
      <c r="C345" t="str">
        <f t="shared" si="35"/>
        <v>1</v>
      </c>
      <c r="D345">
        <v>13</v>
      </c>
      <c r="E345" t="str">
        <f>"15"</f>
        <v>15</v>
      </c>
      <c r="F345" t="str">
        <f t="shared" si="37"/>
        <v>0000</v>
      </c>
    </row>
    <row r="346" spans="1:6">
      <c r="A346" t="str">
        <f>"T1006-6"</f>
        <v>T1006-6</v>
      </c>
      <c r="B346" t="str">
        <f t="shared" si="38"/>
        <v>VIA ACHILLE PAPA VICINO AL 1-</v>
      </c>
      <c r="C346" t="str">
        <f t="shared" si="35"/>
        <v>1</v>
      </c>
      <c r="D346">
        <v>13</v>
      </c>
      <c r="E346" t="str">
        <f>"17"</f>
        <v>17</v>
      </c>
      <c r="F346" t="str">
        <f t="shared" si="37"/>
        <v>0000</v>
      </c>
    </row>
    <row r="347" spans="1:6">
      <c r="A347" t="str">
        <f>"T1006-8"</f>
        <v>T1006-8</v>
      </c>
      <c r="B347" t="str">
        <f t="shared" si="38"/>
        <v>VIA ACHILLE PAPA VICINO AL 1-</v>
      </c>
      <c r="C347" t="str">
        <f t="shared" si="35"/>
        <v>1</v>
      </c>
      <c r="D347">
        <v>13</v>
      </c>
      <c r="E347" t="str">
        <f>"19"</f>
        <v>19</v>
      </c>
      <c r="F347" t="str">
        <f t="shared" si="37"/>
        <v>0000</v>
      </c>
    </row>
    <row r="348" spans="1:6">
      <c r="A348" t="str">
        <f>"T1006-9"</f>
        <v>T1006-9</v>
      </c>
      <c r="B348" t="str">
        <f t="shared" si="38"/>
        <v>VIA ACHILLE PAPA VICINO AL 1-</v>
      </c>
      <c r="C348" t="str">
        <f t="shared" si="35"/>
        <v>1</v>
      </c>
      <c r="D348">
        <v>13</v>
      </c>
      <c r="E348" t="str">
        <f>"26"</f>
        <v>26</v>
      </c>
      <c r="F348" t="str">
        <f t="shared" si="37"/>
        <v>0000</v>
      </c>
    </row>
    <row r="349" spans="1:6">
      <c r="A349" t="str">
        <f>"T1006-10"</f>
        <v>T1006-10</v>
      </c>
      <c r="B349" t="str">
        <f t="shared" si="38"/>
        <v>VIA ACHILLE PAPA VICINO AL 1-</v>
      </c>
      <c r="C349" t="str">
        <f t="shared" si="35"/>
        <v>1</v>
      </c>
      <c r="D349">
        <v>13</v>
      </c>
      <c r="E349" t="str">
        <f>"28"</f>
        <v>28</v>
      </c>
      <c r="F349" t="str">
        <f t="shared" si="37"/>
        <v>0000</v>
      </c>
    </row>
    <row r="350" spans="1:6">
      <c r="A350" t="str">
        <f>"T1006-11"</f>
        <v>T1006-11</v>
      </c>
      <c r="B350" t="str">
        <f t="shared" si="38"/>
        <v>VIA ACHILLE PAPA VICINO AL 1-</v>
      </c>
      <c r="C350" t="str">
        <f t="shared" si="35"/>
        <v>1</v>
      </c>
      <c r="D350">
        <v>13</v>
      </c>
      <c r="E350" t="str">
        <f>"31"</f>
        <v>31</v>
      </c>
      <c r="F350" t="str">
        <f t="shared" si="37"/>
        <v>0000</v>
      </c>
    </row>
    <row r="351" spans="1:6">
      <c r="A351" t="str">
        <f>"T1006-12"</f>
        <v>T1006-12</v>
      </c>
      <c r="B351" t="str">
        <f t="shared" si="38"/>
        <v>VIA ACHILLE PAPA VICINO AL 1-</v>
      </c>
      <c r="C351" t="str">
        <f t="shared" si="35"/>
        <v>1</v>
      </c>
      <c r="D351">
        <v>13</v>
      </c>
      <c r="E351" t="str">
        <f>"35"</f>
        <v>35</v>
      </c>
      <c r="F351" t="str">
        <f t="shared" si="37"/>
        <v>0000</v>
      </c>
    </row>
    <row r="352" spans="1:6">
      <c r="A352" t="str">
        <f>"T1006-14"</f>
        <v>T1006-14</v>
      </c>
      <c r="B352" t="str">
        <f t="shared" si="38"/>
        <v>VIA ACHILLE PAPA VICINO AL 1-</v>
      </c>
      <c r="C352" t="str">
        <f t="shared" si="35"/>
        <v>1</v>
      </c>
      <c r="D352">
        <v>13</v>
      </c>
      <c r="E352" t="str">
        <f>"43"</f>
        <v>43</v>
      </c>
      <c r="F352" t="str">
        <f t="shared" si="37"/>
        <v>0000</v>
      </c>
    </row>
    <row r="353" spans="1:6">
      <c r="A353" t="str">
        <f>"T1006-15"</f>
        <v>T1006-15</v>
      </c>
      <c r="B353" t="str">
        <f t="shared" si="38"/>
        <v>VIA ACHILLE PAPA VICINO AL 1-</v>
      </c>
      <c r="C353" t="str">
        <f t="shared" si="35"/>
        <v>1</v>
      </c>
      <c r="D353">
        <v>13</v>
      </c>
      <c r="E353" t="str">
        <f>"46"</f>
        <v>46</v>
      </c>
      <c r="F353" t="str">
        <f t="shared" si="37"/>
        <v>0000</v>
      </c>
    </row>
    <row r="354" spans="1:6">
      <c r="A354" t="str">
        <f>"T1006-16"</f>
        <v>T1006-16</v>
      </c>
      <c r="B354" t="str">
        <f t="shared" si="38"/>
        <v>VIA ACHILLE PAPA VICINO AL 1-</v>
      </c>
      <c r="C354" t="str">
        <f t="shared" si="35"/>
        <v>1</v>
      </c>
      <c r="D354">
        <v>13</v>
      </c>
      <c r="E354" t="str">
        <f>"52"</f>
        <v>52</v>
      </c>
      <c r="F354" t="str">
        <f t="shared" si="37"/>
        <v>0000</v>
      </c>
    </row>
    <row r="355" spans="1:6">
      <c r="A355" t="str">
        <f>"T1006-17"</f>
        <v>T1006-17</v>
      </c>
      <c r="B355" t="str">
        <f t="shared" si="38"/>
        <v>VIA ACHILLE PAPA VICINO AL 1-</v>
      </c>
      <c r="C355" t="str">
        <f t="shared" si="35"/>
        <v>1</v>
      </c>
      <c r="D355">
        <v>13</v>
      </c>
      <c r="E355" t="str">
        <f>"53"</f>
        <v>53</v>
      </c>
      <c r="F355" t="str">
        <f t="shared" si="37"/>
        <v>0000</v>
      </c>
    </row>
    <row r="356" spans="1:6">
      <c r="A356" t="str">
        <f>"T1006-18"</f>
        <v>T1006-18</v>
      </c>
      <c r="B356" t="str">
        <f t="shared" si="38"/>
        <v>VIA ACHILLE PAPA VICINO AL 1-</v>
      </c>
      <c r="C356" t="str">
        <f t="shared" ref="C356:C387" si="39">"1"</f>
        <v>1</v>
      </c>
      <c r="D356">
        <v>13</v>
      </c>
      <c r="E356" t="str">
        <f>"64"</f>
        <v>64</v>
      </c>
      <c r="F356" t="str">
        <f t="shared" si="37"/>
        <v>0000</v>
      </c>
    </row>
    <row r="357" spans="1:6">
      <c r="A357" t="str">
        <f>"T1006-19"</f>
        <v>T1006-19</v>
      </c>
      <c r="B357" t="str">
        <f t="shared" si="38"/>
        <v>VIA ACHILLE PAPA VICINO AL 1-</v>
      </c>
      <c r="C357" t="str">
        <f t="shared" si="39"/>
        <v>1</v>
      </c>
      <c r="D357">
        <v>13</v>
      </c>
      <c r="E357" t="str">
        <f>"66"</f>
        <v>66</v>
      </c>
      <c r="F357" t="str">
        <f t="shared" si="37"/>
        <v>0000</v>
      </c>
    </row>
    <row r="358" spans="1:6">
      <c r="A358" t="str">
        <f>"T1006-20"</f>
        <v>T1006-20</v>
      </c>
      <c r="B358" t="str">
        <f t="shared" si="38"/>
        <v>VIA ACHILLE PAPA VICINO AL 1-</v>
      </c>
      <c r="C358" t="str">
        <f t="shared" si="39"/>
        <v>1</v>
      </c>
      <c r="D358">
        <v>13</v>
      </c>
      <c r="E358" t="str">
        <f>"68"</f>
        <v>68</v>
      </c>
      <c r="F358" t="str">
        <f t="shared" si="37"/>
        <v>0000</v>
      </c>
    </row>
    <row r="359" spans="1:6">
      <c r="A359" t="str">
        <f>"T1006-21"</f>
        <v>T1006-21</v>
      </c>
      <c r="B359" t="str">
        <f t="shared" si="38"/>
        <v>VIA ACHILLE PAPA VICINO AL 1-</v>
      </c>
      <c r="C359" t="str">
        <f t="shared" si="39"/>
        <v>1</v>
      </c>
      <c r="D359">
        <v>13</v>
      </c>
      <c r="E359" t="str">
        <f>"71"</f>
        <v>71</v>
      </c>
      <c r="F359" t="str">
        <f t="shared" si="37"/>
        <v>0000</v>
      </c>
    </row>
    <row r="360" spans="1:6">
      <c r="A360" t="str">
        <f>"T1006-22"</f>
        <v>T1006-22</v>
      </c>
      <c r="B360" t="str">
        <f t="shared" si="38"/>
        <v>VIA ACHILLE PAPA VICINO AL 1-</v>
      </c>
      <c r="C360" t="str">
        <f t="shared" si="39"/>
        <v>1</v>
      </c>
      <c r="D360">
        <v>13</v>
      </c>
      <c r="E360" t="str">
        <f>"89"</f>
        <v>89</v>
      </c>
      <c r="F360" t="str">
        <f t="shared" si="37"/>
        <v>0000</v>
      </c>
    </row>
    <row r="361" spans="1:6">
      <c r="A361" t="str">
        <f>"T1006-23"</f>
        <v>T1006-23</v>
      </c>
      <c r="B361" t="str">
        <f t="shared" si="38"/>
        <v>VIA ACHILLE PAPA VICINO AL 1-</v>
      </c>
      <c r="C361" t="str">
        <f t="shared" si="39"/>
        <v>1</v>
      </c>
      <c r="D361">
        <v>13</v>
      </c>
      <c r="E361" t="str">
        <f>"102"</f>
        <v>102</v>
      </c>
      <c r="F361" t="str">
        <f t="shared" si="37"/>
        <v>0000</v>
      </c>
    </row>
    <row r="362" spans="1:6">
      <c r="A362" t="str">
        <f>"T1006-24"</f>
        <v>T1006-24</v>
      </c>
      <c r="B362" t="str">
        <f t="shared" si="38"/>
        <v>VIA ACHILLE PAPA VICINO AL 1-</v>
      </c>
      <c r="C362" t="str">
        <f t="shared" si="39"/>
        <v>1</v>
      </c>
      <c r="D362">
        <v>13</v>
      </c>
      <c r="E362" t="str">
        <f>"99999"</f>
        <v>99999</v>
      </c>
      <c r="F362" t="str">
        <f t="shared" si="37"/>
        <v>0000</v>
      </c>
    </row>
    <row r="363" spans="1:6">
      <c r="A363" t="str">
        <f>"T1006-26"</f>
        <v>T1006-26</v>
      </c>
      <c r="B363" t="str">
        <f t="shared" si="38"/>
        <v>VIA ACHILLE PAPA VICINO AL 1-</v>
      </c>
      <c r="C363" t="str">
        <f t="shared" si="39"/>
        <v>1</v>
      </c>
      <c r="D363">
        <v>13</v>
      </c>
      <c r="E363" t="str">
        <f>"99999"</f>
        <v>99999</v>
      </c>
      <c r="F363" t="str">
        <f t="shared" si="37"/>
        <v>0000</v>
      </c>
    </row>
    <row r="364" spans="1:6">
      <c r="A364" t="str">
        <f>"T1006-27"</f>
        <v>T1006-27</v>
      </c>
      <c r="B364" t="str">
        <f t="shared" si="38"/>
        <v>VIA ACHILLE PAPA VICINO AL 1-</v>
      </c>
      <c r="C364" t="str">
        <f t="shared" si="39"/>
        <v>1</v>
      </c>
      <c r="D364">
        <v>14</v>
      </c>
      <c r="E364" t="str">
        <f>"1"</f>
        <v>1</v>
      </c>
      <c r="F364" t="str">
        <f t="shared" si="37"/>
        <v>0000</v>
      </c>
    </row>
    <row r="365" spans="1:6">
      <c r="A365" t="str">
        <f>"T1006-28"</f>
        <v>T1006-28</v>
      </c>
      <c r="B365" t="str">
        <f t="shared" si="38"/>
        <v>VIA ACHILLE PAPA VICINO AL 1-</v>
      </c>
      <c r="C365" t="str">
        <f t="shared" si="39"/>
        <v>1</v>
      </c>
      <c r="D365">
        <v>14</v>
      </c>
      <c r="E365" t="str">
        <f>"2"</f>
        <v>2</v>
      </c>
      <c r="F365" t="str">
        <f t="shared" si="37"/>
        <v>0000</v>
      </c>
    </row>
    <row r="366" spans="1:6">
      <c r="A366" t="str">
        <f>"T1006-30"</f>
        <v>T1006-30</v>
      </c>
      <c r="B366" t="str">
        <f t="shared" si="38"/>
        <v>VIA ACHILLE PAPA VICINO AL 1-</v>
      </c>
      <c r="C366" t="str">
        <f t="shared" si="39"/>
        <v>1</v>
      </c>
      <c r="D366">
        <v>14</v>
      </c>
      <c r="E366" t="str">
        <f>"6"</f>
        <v>6</v>
      </c>
      <c r="F366" t="str">
        <f t="shared" si="37"/>
        <v>0000</v>
      </c>
    </row>
    <row r="367" spans="1:6">
      <c r="A367" t="str">
        <f>"T1006-31"</f>
        <v>T1006-31</v>
      </c>
      <c r="B367" t="str">
        <f t="shared" si="38"/>
        <v>VIA ACHILLE PAPA VICINO AL 1-</v>
      </c>
      <c r="C367" t="str">
        <f t="shared" si="39"/>
        <v>1</v>
      </c>
      <c r="D367">
        <v>14</v>
      </c>
      <c r="E367" t="str">
        <f>"9"</f>
        <v>9</v>
      </c>
      <c r="F367" t="str">
        <f t="shared" si="37"/>
        <v>0000</v>
      </c>
    </row>
    <row r="368" spans="1:6">
      <c r="A368" t="str">
        <f>"T1006-32"</f>
        <v>T1006-32</v>
      </c>
      <c r="B368" t="str">
        <f t="shared" si="38"/>
        <v>VIA ACHILLE PAPA VICINO AL 1-</v>
      </c>
      <c r="C368" t="str">
        <f t="shared" si="39"/>
        <v>1</v>
      </c>
      <c r="D368">
        <v>14</v>
      </c>
      <c r="E368" t="str">
        <f>"11"</f>
        <v>11</v>
      </c>
      <c r="F368" t="str">
        <f t="shared" si="37"/>
        <v>0000</v>
      </c>
    </row>
    <row r="369" spans="1:6">
      <c r="A369" t="str">
        <f>"T1006-33"</f>
        <v>T1006-33</v>
      </c>
      <c r="B369" t="str">
        <f t="shared" si="38"/>
        <v>VIA ACHILLE PAPA VICINO AL 1-</v>
      </c>
      <c r="C369" t="str">
        <f t="shared" si="39"/>
        <v>1</v>
      </c>
      <c r="D369">
        <v>14</v>
      </c>
      <c r="E369" t="str">
        <f>"489"</f>
        <v>489</v>
      </c>
      <c r="F369" t="str">
        <f t="shared" ref="F369:F400" si="40">"0000"</f>
        <v>0000</v>
      </c>
    </row>
    <row r="370" spans="1:6">
      <c r="A370" t="str">
        <f>"T1006-34"</f>
        <v>T1006-34</v>
      </c>
      <c r="B370" t="str">
        <f t="shared" si="38"/>
        <v>VIA ACHILLE PAPA VICINO AL 1-</v>
      </c>
      <c r="C370" t="str">
        <f t="shared" si="39"/>
        <v>1</v>
      </c>
      <c r="D370">
        <v>14</v>
      </c>
      <c r="E370" t="str">
        <f>"509"</f>
        <v>509</v>
      </c>
      <c r="F370" t="str">
        <f t="shared" si="40"/>
        <v>0000</v>
      </c>
    </row>
    <row r="371" spans="1:6">
      <c r="A371" t="str">
        <f>"T1006-36"</f>
        <v>T1006-36</v>
      </c>
      <c r="B371" t="str">
        <f t="shared" si="38"/>
        <v>VIA ACHILLE PAPA VICINO AL 1-</v>
      </c>
      <c r="C371" t="str">
        <f t="shared" si="39"/>
        <v>1</v>
      </c>
      <c r="D371">
        <v>14</v>
      </c>
      <c r="E371" t="str">
        <f>"99999"</f>
        <v>99999</v>
      </c>
      <c r="F371" t="str">
        <f t="shared" si="40"/>
        <v>0000</v>
      </c>
    </row>
    <row r="372" spans="1:6">
      <c r="A372" t="str">
        <f>"T1006-40"</f>
        <v>T1006-40</v>
      </c>
      <c r="B372" t="str">
        <f t="shared" si="38"/>
        <v>VIA ACHILLE PAPA VICINO AL 1-</v>
      </c>
      <c r="C372" t="str">
        <f t="shared" si="39"/>
        <v>1</v>
      </c>
      <c r="D372">
        <v>13</v>
      </c>
      <c r="E372" t="str">
        <f>"439"</f>
        <v>439</v>
      </c>
      <c r="F372" t="str">
        <f t="shared" si="40"/>
        <v>0000</v>
      </c>
    </row>
    <row r="373" spans="1:6">
      <c r="A373" t="str">
        <f>"T1009-1"</f>
        <v>T1009-1</v>
      </c>
      <c r="B373" t="str">
        <f>"PIAZZA MANIN VICINO AL 4-"</f>
        <v>PIAZZA MANIN VICINO AL 4-</v>
      </c>
      <c r="C373" t="str">
        <f t="shared" si="39"/>
        <v>1</v>
      </c>
      <c r="D373">
        <v>48</v>
      </c>
      <c r="E373" t="str">
        <f>"12"</f>
        <v>12</v>
      </c>
      <c r="F373" t="str">
        <f t="shared" si="40"/>
        <v>0000</v>
      </c>
    </row>
    <row r="374" spans="1:6">
      <c r="A374" t="str">
        <f>"T1010-1"</f>
        <v>T1010-1</v>
      </c>
      <c r="B374" t="str">
        <f>"VIA DOMENICO CHIODO VICINO AL 7-"</f>
        <v>VIA DOMENICO CHIODO VICINO AL 7-</v>
      </c>
      <c r="C374" t="str">
        <f t="shared" si="39"/>
        <v>1</v>
      </c>
      <c r="D374">
        <v>17</v>
      </c>
      <c r="E374" t="str">
        <f>"201"</f>
        <v>201</v>
      </c>
      <c r="F374" t="str">
        <f t="shared" si="40"/>
        <v>0000</v>
      </c>
    </row>
    <row r="375" spans="1:6">
      <c r="A375" t="str">
        <f>"T1012-1"</f>
        <v>T1012-1</v>
      </c>
      <c r="B375" t="str">
        <f>"MURA DELLE CHIAPPE VICINO AL 60-"</f>
        <v>MURA DELLE CHIAPPE VICINO AL 60-</v>
      </c>
      <c r="C375" t="str">
        <f t="shared" si="39"/>
        <v>1</v>
      </c>
      <c r="D375">
        <v>16</v>
      </c>
      <c r="E375" t="str">
        <f>"54"</f>
        <v>54</v>
      </c>
      <c r="F375" t="str">
        <f t="shared" si="40"/>
        <v>0000</v>
      </c>
    </row>
    <row r="376" spans="1:6">
      <c r="A376" t="str">
        <f>"T1012-2"</f>
        <v>T1012-2</v>
      </c>
      <c r="B376" t="str">
        <f>"MURA DELLE CHIAPPE VICINO AL 60-"</f>
        <v>MURA DELLE CHIAPPE VICINO AL 60-</v>
      </c>
      <c r="C376" t="str">
        <f t="shared" si="39"/>
        <v>1</v>
      </c>
      <c r="D376">
        <v>16</v>
      </c>
      <c r="E376" t="str">
        <f>"391"</f>
        <v>391</v>
      </c>
      <c r="F376" t="str">
        <f t="shared" si="40"/>
        <v>0000</v>
      </c>
    </row>
    <row r="377" spans="1:6">
      <c r="A377" t="str">
        <f>"T1012-3"</f>
        <v>T1012-3</v>
      </c>
      <c r="B377" t="str">
        <f>"MURA DELLE CHIAPPE VICINO AL 60-"</f>
        <v>MURA DELLE CHIAPPE VICINO AL 60-</v>
      </c>
      <c r="C377" t="str">
        <f t="shared" si="39"/>
        <v>1</v>
      </c>
      <c r="D377">
        <v>16</v>
      </c>
      <c r="E377" t="str">
        <f>"54"</f>
        <v>54</v>
      </c>
      <c r="F377" t="str">
        <f t="shared" si="40"/>
        <v>0000</v>
      </c>
    </row>
    <row r="378" spans="1:6">
      <c r="A378" t="str">
        <f>"T1013-1"</f>
        <v>T1013-1</v>
      </c>
      <c r="B378" t="str">
        <f>"VIA FRANCESCA S CABRINI VICINO AL 1-"</f>
        <v>VIA FRANCESCA S CABRINI VICINO AL 1-</v>
      </c>
      <c r="C378" t="str">
        <f t="shared" si="39"/>
        <v>1</v>
      </c>
      <c r="D378">
        <v>35</v>
      </c>
      <c r="E378" t="str">
        <f>"310"</f>
        <v>310</v>
      </c>
      <c r="F378" t="str">
        <f t="shared" si="40"/>
        <v>0000</v>
      </c>
    </row>
    <row r="379" spans="1:6">
      <c r="A379" t="str">
        <f>"T1013-2"</f>
        <v>T1013-2</v>
      </c>
      <c r="B379" t="str">
        <f>"VIA FRANCESCA S CABRINI VICINO AL 1-"</f>
        <v>VIA FRANCESCA S CABRINI VICINO AL 1-</v>
      </c>
      <c r="C379" t="str">
        <f t="shared" si="39"/>
        <v>1</v>
      </c>
      <c r="D379">
        <v>35</v>
      </c>
      <c r="E379" t="str">
        <f>"1151"</f>
        <v>1151</v>
      </c>
      <c r="F379" t="str">
        <f t="shared" si="40"/>
        <v>0000</v>
      </c>
    </row>
    <row r="380" spans="1:6">
      <c r="A380" t="str">
        <f>"T1014-1"</f>
        <v>T1014-1</v>
      </c>
      <c r="B380" t="str">
        <f>"VIA AI PRATI D OREGINA VICINO AL 16B-"</f>
        <v>VIA AI PRATI D OREGINA VICINO AL 16B-</v>
      </c>
      <c r="C380" t="str">
        <f t="shared" si="39"/>
        <v>1</v>
      </c>
      <c r="D380">
        <v>13</v>
      </c>
      <c r="E380" t="str">
        <f>"1"</f>
        <v>1</v>
      </c>
      <c r="F380" t="str">
        <f t="shared" si="40"/>
        <v>0000</v>
      </c>
    </row>
    <row r="381" spans="1:6">
      <c r="A381" t="str">
        <f>"T1014-5"</f>
        <v>T1014-5</v>
      </c>
      <c r="B381" t="str">
        <f>"VIA AI PRATI D OREGINA VICINO AL 16B-"</f>
        <v>VIA AI PRATI D OREGINA VICINO AL 16B-</v>
      </c>
      <c r="C381" t="str">
        <f t="shared" si="39"/>
        <v>1</v>
      </c>
      <c r="D381">
        <v>13</v>
      </c>
      <c r="E381" t="str">
        <f>"89"</f>
        <v>89</v>
      </c>
      <c r="F381" t="str">
        <f t="shared" si="40"/>
        <v>0000</v>
      </c>
    </row>
    <row r="382" spans="1:6">
      <c r="A382" t="str">
        <f>"T1014-7"</f>
        <v>T1014-7</v>
      </c>
      <c r="B382" t="str">
        <f>"VIA AI PRATI D OREGINA VICINO AL 16B-"</f>
        <v>VIA AI PRATI D OREGINA VICINO AL 16B-</v>
      </c>
      <c r="C382" t="str">
        <f t="shared" si="39"/>
        <v>1</v>
      </c>
      <c r="D382">
        <v>13</v>
      </c>
      <c r="E382" t="str">
        <f>"1"</f>
        <v>1</v>
      </c>
      <c r="F382" t="str">
        <f t="shared" si="40"/>
        <v>0000</v>
      </c>
    </row>
    <row r="383" spans="1:6">
      <c r="A383" t="str">
        <f>"T1014-8"</f>
        <v>T1014-8</v>
      </c>
      <c r="B383" t="str">
        <f>"VIA AI PRATI D OREGINA VICINO AL 16B-"</f>
        <v>VIA AI PRATI D OREGINA VICINO AL 16B-</v>
      </c>
      <c r="C383" t="str">
        <f t="shared" si="39"/>
        <v>1</v>
      </c>
      <c r="D383">
        <v>13</v>
      </c>
      <c r="E383" t="str">
        <f>"1"</f>
        <v>1</v>
      </c>
      <c r="F383" t="str">
        <f t="shared" si="40"/>
        <v>0000</v>
      </c>
    </row>
    <row r="384" spans="1:6">
      <c r="A384" t="str">
        <f>"T1016-1"</f>
        <v>T1016-1</v>
      </c>
      <c r="B384" t="str">
        <f>"VIA ISCHIA VICINO AL 28-"</f>
        <v>VIA ISCHIA VICINO AL 28-</v>
      </c>
      <c r="C384" t="str">
        <f t="shared" si="39"/>
        <v>1</v>
      </c>
      <c r="D384">
        <v>13</v>
      </c>
      <c r="E384" t="str">
        <f>"1"</f>
        <v>1</v>
      </c>
      <c r="F384" t="str">
        <f t="shared" si="40"/>
        <v>0000</v>
      </c>
    </row>
    <row r="385" spans="1:6">
      <c r="A385" t="str">
        <f>"T1025-1"</f>
        <v>T1025-1</v>
      </c>
      <c r="B385" t="str">
        <f>"VIA DELLA MARINA VICINO AL 5R-"</f>
        <v>VIA DELLA MARINA VICINO AL 5R-</v>
      </c>
      <c r="C385" t="str">
        <f t="shared" si="39"/>
        <v>1</v>
      </c>
      <c r="D385">
        <v>67</v>
      </c>
      <c r="E385" t="str">
        <f>"817"</f>
        <v>817</v>
      </c>
      <c r="F385" t="str">
        <f t="shared" si="40"/>
        <v>0000</v>
      </c>
    </row>
    <row r="386" spans="1:6">
      <c r="A386" t="str">
        <f>"T1026-1"</f>
        <v>T1026-1</v>
      </c>
      <c r="B386" t="str">
        <f>"VIA SANTA MARIA CASTELLO VICINO AL 37-"</f>
        <v>VIA SANTA MARIA CASTELLO VICINO AL 37-</v>
      </c>
      <c r="C386" t="str">
        <f t="shared" si="39"/>
        <v>1</v>
      </c>
      <c r="D386">
        <v>67</v>
      </c>
      <c r="E386" t="str">
        <f>"505"</f>
        <v>505</v>
      </c>
      <c r="F386" t="str">
        <f t="shared" si="40"/>
        <v>0000</v>
      </c>
    </row>
    <row r="387" spans="1:6">
      <c r="A387" t="str">
        <f>"T1027-1"</f>
        <v>T1027-1</v>
      </c>
      <c r="B387" t="str">
        <f>"PIAZZA DELLA RAIBETTA VICINO AL 2-"</f>
        <v>PIAZZA DELLA RAIBETTA VICINO AL 2-</v>
      </c>
      <c r="C387" t="str">
        <f t="shared" si="39"/>
        <v>1</v>
      </c>
      <c r="D387">
        <v>65</v>
      </c>
      <c r="E387" t="str">
        <f>"88"</f>
        <v>88</v>
      </c>
      <c r="F387" t="str">
        <f t="shared" si="40"/>
        <v>0000</v>
      </c>
    </row>
    <row r="388" spans="1:6">
      <c r="A388" t="str">
        <f>"T1028-1"</f>
        <v>T1028-1</v>
      </c>
      <c r="B388" t="str">
        <f>"SALITA DI SAN GEROLAMO  2-"</f>
        <v>SALITA DI SAN GEROLAMO  2-</v>
      </c>
      <c r="C388" t="str">
        <f t="shared" ref="C388:C423" si="41">"1"</f>
        <v>1</v>
      </c>
      <c r="D388">
        <v>46</v>
      </c>
      <c r="E388" t="str">
        <f>"321"</f>
        <v>321</v>
      </c>
      <c r="F388" t="str">
        <f t="shared" si="40"/>
        <v>0000</v>
      </c>
    </row>
    <row r="389" spans="1:6">
      <c r="A389" t="str">
        <f>"T1029-1"</f>
        <v>T1029-1</v>
      </c>
      <c r="B389" t="str">
        <f>"VIA AL FORTE DI BEGATO VICINO AL 7-"</f>
        <v>VIA AL FORTE DI BEGATO VICINO AL 7-</v>
      </c>
      <c r="C389" t="str">
        <f t="shared" si="41"/>
        <v>1</v>
      </c>
      <c r="D389">
        <v>6</v>
      </c>
      <c r="E389" t="str">
        <f>"117"</f>
        <v>117</v>
      </c>
      <c r="F389" t="str">
        <f t="shared" si="40"/>
        <v>0000</v>
      </c>
    </row>
    <row r="390" spans="1:6">
      <c r="A390" t="str">
        <f>"T1030-1"</f>
        <v>T1030-1</v>
      </c>
      <c r="B390" t="str">
        <f>"PIAZZA DE MARINI VICINO AL 1-"</f>
        <v>PIAZZA DE MARINI VICINO AL 1-</v>
      </c>
      <c r="C390" t="str">
        <f t="shared" si="41"/>
        <v>1</v>
      </c>
      <c r="D390">
        <v>45</v>
      </c>
      <c r="E390" t="str">
        <f>"99999"</f>
        <v>99999</v>
      </c>
      <c r="F390" t="str">
        <f t="shared" si="40"/>
        <v>0000</v>
      </c>
    </row>
    <row r="391" spans="1:6">
      <c r="A391" t="str">
        <f>"T1031-1"</f>
        <v>T1031-1</v>
      </c>
      <c r="B391" t="str">
        <f>"VIA AL FORTE DI BEGATO VICINO AL 7-"</f>
        <v>VIA AL FORTE DI BEGATO VICINO AL 7-</v>
      </c>
      <c r="C391" t="str">
        <f t="shared" si="41"/>
        <v>1</v>
      </c>
      <c r="D391">
        <v>6</v>
      </c>
      <c r="E391" t="str">
        <f>"117"</f>
        <v>117</v>
      </c>
      <c r="F391" t="str">
        <f t="shared" si="40"/>
        <v>0000</v>
      </c>
    </row>
    <row r="392" spans="1:6">
      <c r="A392" t="str">
        <f>"T1034-1"</f>
        <v>T1034-1</v>
      </c>
      <c r="B392" t="str">
        <f t="shared" ref="B392:B406" si="42">"VIA PARCO DEL PERALTO VICINO AL 30-"</f>
        <v>VIA PARCO DEL PERALTO VICINO AL 30-</v>
      </c>
      <c r="C392" t="str">
        <f t="shared" si="41"/>
        <v>1</v>
      </c>
      <c r="D392">
        <v>7</v>
      </c>
      <c r="E392" t="str">
        <f>"7"</f>
        <v>7</v>
      </c>
      <c r="F392" t="str">
        <f t="shared" si="40"/>
        <v>0000</v>
      </c>
    </row>
    <row r="393" spans="1:6">
      <c r="A393" t="str">
        <f>"T1034-2"</f>
        <v>T1034-2</v>
      </c>
      <c r="B393" t="str">
        <f t="shared" si="42"/>
        <v>VIA PARCO DEL PERALTO VICINO AL 30-</v>
      </c>
      <c r="C393" t="str">
        <f t="shared" si="41"/>
        <v>1</v>
      </c>
      <c r="D393">
        <v>7</v>
      </c>
      <c r="E393" t="str">
        <f>"7"</f>
        <v>7</v>
      </c>
      <c r="F393" t="str">
        <f t="shared" si="40"/>
        <v>0000</v>
      </c>
    </row>
    <row r="394" spans="1:6">
      <c r="A394" t="str">
        <f>"T1034-3"</f>
        <v>T1034-3</v>
      </c>
      <c r="B394" t="str">
        <f t="shared" si="42"/>
        <v>VIA PARCO DEL PERALTO VICINO AL 30-</v>
      </c>
      <c r="C394" t="str">
        <f t="shared" si="41"/>
        <v>1</v>
      </c>
      <c r="D394">
        <v>7</v>
      </c>
      <c r="E394" t="str">
        <f>"8"</f>
        <v>8</v>
      </c>
      <c r="F394" t="str">
        <f t="shared" si="40"/>
        <v>0000</v>
      </c>
    </row>
    <row r="395" spans="1:6">
      <c r="A395" t="str">
        <f>"T1034-4"</f>
        <v>T1034-4</v>
      </c>
      <c r="B395" t="str">
        <f t="shared" si="42"/>
        <v>VIA PARCO DEL PERALTO VICINO AL 30-</v>
      </c>
      <c r="C395" t="str">
        <f t="shared" si="41"/>
        <v>1</v>
      </c>
      <c r="D395">
        <v>7</v>
      </c>
      <c r="E395" t="str">
        <f>"9"</f>
        <v>9</v>
      </c>
      <c r="F395" t="str">
        <f t="shared" si="40"/>
        <v>0000</v>
      </c>
    </row>
    <row r="396" spans="1:6">
      <c r="A396" t="str">
        <f>"T1034-5"</f>
        <v>T1034-5</v>
      </c>
      <c r="B396" t="str">
        <f t="shared" si="42"/>
        <v>VIA PARCO DEL PERALTO VICINO AL 30-</v>
      </c>
      <c r="C396" t="str">
        <f t="shared" si="41"/>
        <v>1</v>
      </c>
      <c r="D396">
        <v>7</v>
      </c>
      <c r="E396" t="str">
        <f>"13"</f>
        <v>13</v>
      </c>
      <c r="F396" t="str">
        <f t="shared" si="40"/>
        <v>0000</v>
      </c>
    </row>
    <row r="397" spans="1:6">
      <c r="A397" t="str">
        <f>"T1034-6"</f>
        <v>T1034-6</v>
      </c>
      <c r="B397" t="str">
        <f t="shared" si="42"/>
        <v>VIA PARCO DEL PERALTO VICINO AL 30-</v>
      </c>
      <c r="C397" t="str">
        <f t="shared" si="41"/>
        <v>1</v>
      </c>
      <c r="D397">
        <v>7</v>
      </c>
      <c r="E397" t="str">
        <f>"13"</f>
        <v>13</v>
      </c>
      <c r="F397" t="str">
        <f t="shared" si="40"/>
        <v>0000</v>
      </c>
    </row>
    <row r="398" spans="1:6">
      <c r="A398" t="str">
        <f>"T1034-7"</f>
        <v>T1034-7</v>
      </c>
      <c r="B398" t="str">
        <f t="shared" si="42"/>
        <v>VIA PARCO DEL PERALTO VICINO AL 30-</v>
      </c>
      <c r="C398" t="str">
        <f t="shared" si="41"/>
        <v>1</v>
      </c>
      <c r="D398">
        <v>7</v>
      </c>
      <c r="E398" t="str">
        <f>"14"</f>
        <v>14</v>
      </c>
      <c r="F398" t="str">
        <f t="shared" si="40"/>
        <v>0000</v>
      </c>
    </row>
    <row r="399" spans="1:6">
      <c r="A399" t="str">
        <f>"T1034-8"</f>
        <v>T1034-8</v>
      </c>
      <c r="B399" t="str">
        <f t="shared" si="42"/>
        <v>VIA PARCO DEL PERALTO VICINO AL 30-</v>
      </c>
      <c r="C399" t="str">
        <f t="shared" si="41"/>
        <v>1</v>
      </c>
      <c r="D399">
        <v>7</v>
      </c>
      <c r="E399" t="str">
        <f>"20"</f>
        <v>20</v>
      </c>
      <c r="F399" t="str">
        <f t="shared" si="40"/>
        <v>0000</v>
      </c>
    </row>
    <row r="400" spans="1:6">
      <c r="A400" t="str">
        <f>"T1034-9"</f>
        <v>T1034-9</v>
      </c>
      <c r="B400" t="str">
        <f t="shared" si="42"/>
        <v>VIA PARCO DEL PERALTO VICINO AL 30-</v>
      </c>
      <c r="C400" t="str">
        <f t="shared" si="41"/>
        <v>1</v>
      </c>
      <c r="D400">
        <v>7</v>
      </c>
      <c r="E400" t="str">
        <f>"30"</f>
        <v>30</v>
      </c>
      <c r="F400" t="str">
        <f t="shared" si="40"/>
        <v>0000</v>
      </c>
    </row>
    <row r="401" spans="1:6">
      <c r="A401" t="str">
        <f>"T1034-10"</f>
        <v>T1034-10</v>
      </c>
      <c r="B401" t="str">
        <f t="shared" si="42"/>
        <v>VIA PARCO DEL PERALTO VICINO AL 30-</v>
      </c>
      <c r="C401" t="str">
        <f t="shared" si="41"/>
        <v>1</v>
      </c>
      <c r="D401">
        <v>7</v>
      </c>
      <c r="E401" t="str">
        <f>"32"</f>
        <v>32</v>
      </c>
      <c r="F401" t="str">
        <f t="shared" ref="F401:F423" si="43">"0000"</f>
        <v>0000</v>
      </c>
    </row>
    <row r="402" spans="1:6">
      <c r="A402" t="str">
        <f>"T1034-11"</f>
        <v>T1034-11</v>
      </c>
      <c r="B402" t="str">
        <f t="shared" si="42"/>
        <v>VIA PARCO DEL PERALTO VICINO AL 30-</v>
      </c>
      <c r="C402" t="str">
        <f t="shared" si="41"/>
        <v>1</v>
      </c>
      <c r="D402">
        <v>7</v>
      </c>
      <c r="E402" t="str">
        <f>"52"</f>
        <v>52</v>
      </c>
      <c r="F402" t="str">
        <f t="shared" si="43"/>
        <v>0000</v>
      </c>
    </row>
    <row r="403" spans="1:6">
      <c r="A403" t="str">
        <f>"T1034-12"</f>
        <v>T1034-12</v>
      </c>
      <c r="B403" t="str">
        <f t="shared" si="42"/>
        <v>VIA PARCO DEL PERALTO VICINO AL 30-</v>
      </c>
      <c r="C403" t="str">
        <f t="shared" si="41"/>
        <v>1</v>
      </c>
      <c r="D403">
        <v>7</v>
      </c>
      <c r="E403" t="str">
        <f>"80"</f>
        <v>80</v>
      </c>
      <c r="F403" t="str">
        <f t="shared" si="43"/>
        <v>0000</v>
      </c>
    </row>
    <row r="404" spans="1:6">
      <c r="A404" t="str">
        <f>"T1034-13"</f>
        <v>T1034-13</v>
      </c>
      <c r="B404" t="str">
        <f t="shared" si="42"/>
        <v>VIA PARCO DEL PERALTO VICINO AL 30-</v>
      </c>
      <c r="C404" t="str">
        <f t="shared" si="41"/>
        <v>1</v>
      </c>
      <c r="D404">
        <v>7</v>
      </c>
      <c r="E404" t="str">
        <f>"80"</f>
        <v>80</v>
      </c>
      <c r="F404" t="str">
        <f t="shared" si="43"/>
        <v>0000</v>
      </c>
    </row>
    <row r="405" spans="1:6">
      <c r="A405" t="str">
        <f>"T1034-14"</f>
        <v>T1034-14</v>
      </c>
      <c r="B405" t="str">
        <f t="shared" si="42"/>
        <v>VIA PARCO DEL PERALTO VICINO AL 30-</v>
      </c>
      <c r="C405" t="str">
        <f t="shared" si="41"/>
        <v>1</v>
      </c>
      <c r="D405">
        <v>7</v>
      </c>
      <c r="E405" t="str">
        <f>"80"</f>
        <v>80</v>
      </c>
      <c r="F405" t="str">
        <f t="shared" si="43"/>
        <v>0000</v>
      </c>
    </row>
    <row r="406" spans="1:6">
      <c r="A406" t="str">
        <f>"T1034-15"</f>
        <v>T1034-15</v>
      </c>
      <c r="B406" t="str">
        <f t="shared" si="42"/>
        <v>VIA PARCO DEL PERALTO VICINO AL 30-</v>
      </c>
      <c r="C406" t="str">
        <f t="shared" si="41"/>
        <v>1</v>
      </c>
      <c r="D406">
        <v>7</v>
      </c>
      <c r="E406" t="str">
        <f>"81"</f>
        <v>81</v>
      </c>
      <c r="F406" t="str">
        <f t="shared" si="43"/>
        <v>0000</v>
      </c>
    </row>
    <row r="407" spans="1:6">
      <c r="A407" t="str">
        <f>"T1035-1"</f>
        <v>T1035-1</v>
      </c>
      <c r="B407" t="str">
        <f>"VIA GIOVANNI COSTANZI VICINO AL 14-"</f>
        <v>VIA GIOVANNI COSTANZI VICINO AL 14-</v>
      </c>
      <c r="C407" t="str">
        <f t="shared" si="41"/>
        <v>1</v>
      </c>
      <c r="D407">
        <v>7</v>
      </c>
      <c r="E407" t="str">
        <f>"449"</f>
        <v>449</v>
      </c>
      <c r="F407" t="str">
        <f t="shared" si="43"/>
        <v>0000</v>
      </c>
    </row>
    <row r="408" spans="1:6">
      <c r="A408" t="str">
        <f>"T1035-2"</f>
        <v>T1035-2</v>
      </c>
      <c r="B408" t="str">
        <f>"VIA GIOVANNI COSTANZI VICINO AL 14-"</f>
        <v>VIA GIOVANNI COSTANZI VICINO AL 14-</v>
      </c>
      <c r="C408" t="str">
        <f t="shared" si="41"/>
        <v>1</v>
      </c>
      <c r="D408">
        <v>13</v>
      </c>
      <c r="E408" t="str">
        <f>"2"</f>
        <v>2</v>
      </c>
      <c r="F408" t="str">
        <f t="shared" si="43"/>
        <v>0000</v>
      </c>
    </row>
    <row r="409" spans="1:6">
      <c r="A409" t="str">
        <f>"T1035-3"</f>
        <v>T1035-3</v>
      </c>
      <c r="B409" t="str">
        <f>"VIA GIOVANNI COSTANZI VICINO AL 14-"</f>
        <v>VIA GIOVANNI COSTANZI VICINO AL 14-</v>
      </c>
      <c r="C409" t="str">
        <f t="shared" si="41"/>
        <v>1</v>
      </c>
      <c r="D409">
        <v>13</v>
      </c>
      <c r="E409" t="str">
        <f>"82"</f>
        <v>82</v>
      </c>
      <c r="F409" t="str">
        <f t="shared" si="43"/>
        <v>0000</v>
      </c>
    </row>
    <row r="410" spans="1:6">
      <c r="A410" t="str">
        <f>"T1036-1"</f>
        <v>T1036-1</v>
      </c>
      <c r="B410" t="str">
        <f t="shared" ref="B410:B423" si="44">"VIA AI PRATI D OREGINA VICINO AL 16-"</f>
        <v>VIA AI PRATI D OREGINA VICINO AL 16-</v>
      </c>
      <c r="C410" t="str">
        <f t="shared" si="41"/>
        <v>1</v>
      </c>
      <c r="D410">
        <v>6</v>
      </c>
      <c r="E410" t="str">
        <f>"73"</f>
        <v>73</v>
      </c>
      <c r="F410" t="str">
        <f t="shared" si="43"/>
        <v>0000</v>
      </c>
    </row>
    <row r="411" spans="1:6">
      <c r="A411" t="str">
        <f>"T1036-2"</f>
        <v>T1036-2</v>
      </c>
      <c r="B411" t="str">
        <f t="shared" si="44"/>
        <v>VIA AI PRATI D OREGINA VICINO AL 16-</v>
      </c>
      <c r="C411" t="str">
        <f t="shared" si="41"/>
        <v>1</v>
      </c>
      <c r="D411">
        <v>6</v>
      </c>
      <c r="E411" t="str">
        <f>"77"</f>
        <v>77</v>
      </c>
      <c r="F411" t="str">
        <f t="shared" si="43"/>
        <v>0000</v>
      </c>
    </row>
    <row r="412" spans="1:6">
      <c r="A412" t="str">
        <f>"T1036-3"</f>
        <v>T1036-3</v>
      </c>
      <c r="B412" t="str">
        <f t="shared" si="44"/>
        <v>VIA AI PRATI D OREGINA VICINO AL 16-</v>
      </c>
      <c r="C412" t="str">
        <f t="shared" si="41"/>
        <v>1</v>
      </c>
      <c r="D412">
        <v>6</v>
      </c>
      <c r="E412" t="str">
        <f>"174"</f>
        <v>174</v>
      </c>
      <c r="F412" t="str">
        <f t="shared" si="43"/>
        <v>0000</v>
      </c>
    </row>
    <row r="413" spans="1:6">
      <c r="A413" t="str">
        <f>"T1036-4"</f>
        <v>T1036-4</v>
      </c>
      <c r="B413" t="str">
        <f t="shared" si="44"/>
        <v>VIA AI PRATI D OREGINA VICINO AL 16-</v>
      </c>
      <c r="C413" t="str">
        <f t="shared" si="41"/>
        <v>1</v>
      </c>
      <c r="D413">
        <v>6</v>
      </c>
      <c r="E413" t="str">
        <f>"291"</f>
        <v>291</v>
      </c>
      <c r="F413" t="str">
        <f t="shared" si="43"/>
        <v>0000</v>
      </c>
    </row>
    <row r="414" spans="1:6">
      <c r="A414" t="str">
        <f>"T1036-5"</f>
        <v>T1036-5</v>
      </c>
      <c r="B414" t="str">
        <f t="shared" si="44"/>
        <v>VIA AI PRATI D OREGINA VICINO AL 16-</v>
      </c>
      <c r="C414" t="str">
        <f t="shared" si="41"/>
        <v>1</v>
      </c>
      <c r="D414">
        <v>6</v>
      </c>
      <c r="E414" t="str">
        <f>"109"</f>
        <v>109</v>
      </c>
      <c r="F414" t="str">
        <f t="shared" si="43"/>
        <v>0000</v>
      </c>
    </row>
    <row r="415" spans="1:6">
      <c r="A415" t="str">
        <f>"T1036-6"</f>
        <v>T1036-6</v>
      </c>
      <c r="B415" t="str">
        <f t="shared" si="44"/>
        <v>VIA AI PRATI D OREGINA VICINO AL 16-</v>
      </c>
      <c r="C415" t="str">
        <f t="shared" si="41"/>
        <v>1</v>
      </c>
      <c r="D415">
        <v>6</v>
      </c>
      <c r="E415" t="str">
        <f>"284"</f>
        <v>284</v>
      </c>
      <c r="F415" t="str">
        <f t="shared" si="43"/>
        <v>0000</v>
      </c>
    </row>
    <row r="416" spans="1:6">
      <c r="A416" t="str">
        <f>"T1036-7"</f>
        <v>T1036-7</v>
      </c>
      <c r="B416" t="str">
        <f t="shared" si="44"/>
        <v>VIA AI PRATI D OREGINA VICINO AL 16-</v>
      </c>
      <c r="C416" t="str">
        <f t="shared" si="41"/>
        <v>1</v>
      </c>
      <c r="D416">
        <v>6</v>
      </c>
      <c r="E416" t="str">
        <f>"285"</f>
        <v>285</v>
      </c>
      <c r="F416" t="str">
        <f t="shared" si="43"/>
        <v>0000</v>
      </c>
    </row>
    <row r="417" spans="1:6">
      <c r="A417" t="str">
        <f>"T1036-8"</f>
        <v>T1036-8</v>
      </c>
      <c r="B417" t="str">
        <f t="shared" si="44"/>
        <v>VIA AI PRATI D OREGINA VICINO AL 16-</v>
      </c>
      <c r="C417" t="str">
        <f t="shared" si="41"/>
        <v>1</v>
      </c>
      <c r="D417">
        <v>6</v>
      </c>
      <c r="E417" t="str">
        <f>"286"</f>
        <v>286</v>
      </c>
      <c r="F417" t="str">
        <f t="shared" si="43"/>
        <v>0000</v>
      </c>
    </row>
    <row r="418" spans="1:6">
      <c r="A418" t="str">
        <f>"T1036-10"</f>
        <v>T1036-10</v>
      </c>
      <c r="B418" t="str">
        <f t="shared" si="44"/>
        <v>VIA AI PRATI D OREGINA VICINO AL 16-</v>
      </c>
      <c r="C418" t="str">
        <f t="shared" si="41"/>
        <v>1</v>
      </c>
      <c r="D418">
        <v>6</v>
      </c>
      <c r="E418" t="str">
        <f>"288"</f>
        <v>288</v>
      </c>
      <c r="F418" t="str">
        <f t="shared" si="43"/>
        <v>0000</v>
      </c>
    </row>
    <row r="419" spans="1:6">
      <c r="A419" t="str">
        <f>"T1036-11"</f>
        <v>T1036-11</v>
      </c>
      <c r="B419" t="str">
        <f t="shared" si="44"/>
        <v>VIA AI PRATI D OREGINA VICINO AL 16-</v>
      </c>
      <c r="C419" t="str">
        <f t="shared" si="41"/>
        <v>1</v>
      </c>
      <c r="D419">
        <v>6</v>
      </c>
      <c r="E419" t="str">
        <f>"293"</f>
        <v>293</v>
      </c>
      <c r="F419" t="str">
        <f t="shared" si="43"/>
        <v>0000</v>
      </c>
    </row>
    <row r="420" spans="1:6">
      <c r="A420" t="str">
        <f>"T1036-12"</f>
        <v>T1036-12</v>
      </c>
      <c r="B420" t="str">
        <f t="shared" si="44"/>
        <v>VIA AI PRATI D OREGINA VICINO AL 16-</v>
      </c>
      <c r="C420" t="str">
        <f t="shared" si="41"/>
        <v>1</v>
      </c>
      <c r="D420">
        <v>6</v>
      </c>
      <c r="E420" t="str">
        <f>"294"</f>
        <v>294</v>
      </c>
      <c r="F420" t="str">
        <f t="shared" si="43"/>
        <v>0000</v>
      </c>
    </row>
    <row r="421" spans="1:6">
      <c r="A421" t="str">
        <f>"T1036-13"</f>
        <v>T1036-13</v>
      </c>
      <c r="B421" t="str">
        <f t="shared" si="44"/>
        <v>VIA AI PRATI D OREGINA VICINO AL 16-</v>
      </c>
      <c r="C421" t="str">
        <f t="shared" si="41"/>
        <v>1</v>
      </c>
      <c r="D421">
        <v>6</v>
      </c>
      <c r="E421" t="str">
        <f>"295"</f>
        <v>295</v>
      </c>
      <c r="F421" t="str">
        <f t="shared" si="43"/>
        <v>0000</v>
      </c>
    </row>
    <row r="422" spans="1:6">
      <c r="A422" t="str">
        <f>"T1036-14"</f>
        <v>T1036-14</v>
      </c>
      <c r="B422" t="str">
        <f t="shared" si="44"/>
        <v>VIA AI PRATI D OREGINA VICINO AL 16-</v>
      </c>
      <c r="C422" t="str">
        <f t="shared" si="41"/>
        <v>1</v>
      </c>
      <c r="D422">
        <v>6</v>
      </c>
      <c r="E422" t="str">
        <f>"172"</f>
        <v>172</v>
      </c>
      <c r="F422" t="str">
        <f t="shared" si="43"/>
        <v>0000</v>
      </c>
    </row>
    <row r="423" spans="1:6">
      <c r="A423" t="str">
        <f>"T1036-15"</f>
        <v>T1036-15</v>
      </c>
      <c r="B423" t="str">
        <f t="shared" si="44"/>
        <v>VIA AI PRATI D OREGINA VICINO AL 16-</v>
      </c>
      <c r="C423" t="str">
        <f t="shared" si="41"/>
        <v>1</v>
      </c>
      <c r="D423">
        <v>6</v>
      </c>
      <c r="E423" t="str">
        <f>"290"</f>
        <v>290</v>
      </c>
      <c r="F423" t="str">
        <f t="shared" si="43"/>
        <v>0000</v>
      </c>
    </row>
    <row r="424" spans="1:6">
      <c r="A424" t="str">
        <f>"T1076-1"</f>
        <v>T1076-1</v>
      </c>
      <c r="B424" t="str">
        <f>"PIAZZA PICCAPIETRA VICINO AL 9-"</f>
        <v>PIAZZA PICCAPIETRA VICINO AL 9-</v>
      </c>
      <c r="C424" t="str">
        <f>""</f>
        <v/>
      </c>
      <c r="E424" t="str">
        <f>""</f>
        <v/>
      </c>
      <c r="F424" t="str">
        <f>""</f>
        <v/>
      </c>
    </row>
    <row r="425" spans="1:6">
      <c r="A425" t="str">
        <f>"T1103-1"</f>
        <v>T1103-1</v>
      </c>
      <c r="B425" t="str">
        <f>"PIAZZETTA DEI TINTORI  1-"</f>
        <v>PIAZZETTA DEI TINTORI  1-</v>
      </c>
      <c r="C425" t="str">
        <f>"GEA"</f>
        <v>GEA</v>
      </c>
      <c r="D425">
        <v>80</v>
      </c>
      <c r="E425" t="str">
        <f>"706"</f>
        <v>706</v>
      </c>
      <c r="F425" t="str">
        <f t="shared" ref="F425:F430" si="45">"0000"</f>
        <v>0000</v>
      </c>
    </row>
    <row r="426" spans="1:6">
      <c r="A426" t="str">
        <f>"T1105-1"</f>
        <v>T1105-1</v>
      </c>
      <c r="B426" t="str">
        <f>"VICO DI SAN CRISTOFORO VICINO AL 3R-"</f>
        <v>VICO DI SAN CRISTOFORO VICINO AL 3R-</v>
      </c>
      <c r="C426" t="str">
        <f>"GEA"</f>
        <v>GEA</v>
      </c>
      <c r="D426">
        <v>80</v>
      </c>
      <c r="E426" t="str">
        <f>"725"</f>
        <v>725</v>
      </c>
      <c r="F426" t="str">
        <f t="shared" si="45"/>
        <v>0000</v>
      </c>
    </row>
    <row r="427" spans="1:6">
      <c r="A427" t="str">
        <f>"T1140-1"</f>
        <v>T1140-1</v>
      </c>
      <c r="B427" t="str">
        <f>"CORSO MAURIZIO QUADRIO VICINO AL 14R-"</f>
        <v>CORSO MAURIZIO QUADRIO VICINO AL 14R-</v>
      </c>
      <c r="C427" t="str">
        <f>"1"</f>
        <v>1</v>
      </c>
      <c r="D427">
        <v>67</v>
      </c>
      <c r="E427" t="str">
        <f>"560"</f>
        <v>560</v>
      </c>
      <c r="F427" t="str">
        <f t="shared" si="45"/>
        <v>0000</v>
      </c>
    </row>
    <row r="428" spans="1:6">
      <c r="A428" t="str">
        <f>"T1141-1"</f>
        <v>T1141-1</v>
      </c>
      <c r="B428" t="str">
        <f>"VIA AL FORTE DI BEGATO VICINO AL 7-"</f>
        <v>VIA AL FORTE DI BEGATO VICINO AL 7-</v>
      </c>
      <c r="C428" t="str">
        <f>"1"</f>
        <v>1</v>
      </c>
      <c r="D428">
        <v>6</v>
      </c>
      <c r="E428" t="str">
        <f>"125"</f>
        <v>125</v>
      </c>
      <c r="F428" t="str">
        <f t="shared" si="45"/>
        <v>0000</v>
      </c>
    </row>
    <row r="429" spans="1:6">
      <c r="A429" t="str">
        <f>"T1147-1"</f>
        <v>T1147-1</v>
      </c>
      <c r="B429" t="str">
        <f>"VIA DEL PERALTO  15-"</f>
        <v>VIA DEL PERALTO  15-</v>
      </c>
      <c r="C429" t="str">
        <f>"1"</f>
        <v>1</v>
      </c>
      <c r="D429">
        <v>7</v>
      </c>
      <c r="E429" t="str">
        <f>"93"</f>
        <v>93</v>
      </c>
      <c r="F429" t="str">
        <f t="shared" si="45"/>
        <v>0000</v>
      </c>
    </row>
    <row r="430" spans="1:6">
      <c r="A430" t="str">
        <f>"T1150-1"</f>
        <v>T1150-1</v>
      </c>
      <c r="B430" t="str">
        <f>"MURA DELLE CAPPUCCINE VICINO AL 14-"</f>
        <v>MURA DELLE CAPPUCCINE VICINO AL 14-</v>
      </c>
      <c r="C430" t="str">
        <f>"GEA"</f>
        <v>GEA</v>
      </c>
      <c r="D430">
        <v>109</v>
      </c>
      <c r="E430" t="str">
        <f>"827"</f>
        <v>827</v>
      </c>
      <c r="F430" t="str">
        <f t="shared" si="45"/>
        <v>0000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sqref="A1:G1"/>
    </sheetView>
  </sheetViews>
  <sheetFormatPr defaultRowHeight="12.75"/>
  <cols>
    <col min="1" max="1" width="14.5703125" bestFit="1" customWidth="1"/>
    <col min="2" max="2" width="17.28515625" bestFit="1" customWidth="1"/>
    <col min="3" max="3" width="43.5703125" bestFit="1" customWidth="1"/>
    <col min="6" max="6" width="10" bestFit="1" customWidth="1"/>
  </cols>
  <sheetData>
    <row r="1" spans="1:7">
      <c r="A1" s="1" t="str">
        <f>"LOCALITA"</f>
        <v>LOCALITA</v>
      </c>
      <c r="B1" s="1" t="str">
        <f>"codice identificativo"</f>
        <v>codice identificativo</v>
      </c>
      <c r="C1" s="1" t="str">
        <f>"Indirizzo/Località"</f>
        <v>Indirizzo/Località</v>
      </c>
      <c r="D1" s="1" t="str">
        <f>"SEZIONE"</f>
        <v>SEZIONE</v>
      </c>
      <c r="E1" s="1" t="str">
        <f>"FOGLIO"</f>
        <v>FOGLIO</v>
      </c>
      <c r="F1" s="1" t="str">
        <f>"MAPPALE"</f>
        <v>MAPPALE</v>
      </c>
      <c r="G1" s="1" t="str">
        <f>"SUB"</f>
        <v>SUB</v>
      </c>
    </row>
    <row r="2" spans="1:7">
      <c r="A2" t="str">
        <f t="shared" ref="A2:A10" si="0">"BERGAMASCO"</f>
        <v>BERGAMASCO</v>
      </c>
      <c r="B2" t="str">
        <f>"T1136-1"</f>
        <v>T1136-1</v>
      </c>
      <c r="C2" t="str">
        <f t="shared" ref="C2:C10" si="1">"VIA PER CASTELNUOVO BELBO VICINO AL 39-"</f>
        <v>VIA PER CASTELNUOVO BELBO VICINO AL 39-</v>
      </c>
      <c r="D2" t="str">
        <f t="shared" ref="D2:D10" si="2">"000"</f>
        <v>000</v>
      </c>
      <c r="E2">
        <v>10</v>
      </c>
      <c r="F2" t="str">
        <f>"591"</f>
        <v>591</v>
      </c>
      <c r="G2" t="str">
        <f t="shared" ref="G2:G41" si="3">"0000"</f>
        <v>0000</v>
      </c>
    </row>
    <row r="3" spans="1:7">
      <c r="A3" t="str">
        <f t="shared" si="0"/>
        <v>BERGAMASCO</v>
      </c>
      <c r="B3" t="str">
        <f>"T1136-2"</f>
        <v>T1136-2</v>
      </c>
      <c r="C3" t="str">
        <f t="shared" si="1"/>
        <v>VIA PER CASTELNUOVO BELBO VICINO AL 39-</v>
      </c>
      <c r="D3" t="str">
        <f t="shared" si="2"/>
        <v>000</v>
      </c>
      <c r="E3">
        <v>18</v>
      </c>
      <c r="F3" t="str">
        <f>"373"</f>
        <v>373</v>
      </c>
      <c r="G3" t="str">
        <f t="shared" si="3"/>
        <v>0000</v>
      </c>
    </row>
    <row r="4" spans="1:7">
      <c r="A4" t="str">
        <f t="shared" si="0"/>
        <v>BERGAMASCO</v>
      </c>
      <c r="B4" t="str">
        <f>"T1136-3"</f>
        <v>T1136-3</v>
      </c>
      <c r="C4" t="str">
        <f t="shared" si="1"/>
        <v>VIA PER CASTELNUOVO BELBO VICINO AL 39-</v>
      </c>
      <c r="D4" t="str">
        <f t="shared" si="2"/>
        <v>000</v>
      </c>
      <c r="E4">
        <v>18</v>
      </c>
      <c r="F4" t="str">
        <f>"146"</f>
        <v>146</v>
      </c>
      <c r="G4" t="str">
        <f t="shared" si="3"/>
        <v>0000</v>
      </c>
    </row>
    <row r="5" spans="1:7">
      <c r="A5" t="str">
        <f t="shared" si="0"/>
        <v>BERGAMASCO</v>
      </c>
      <c r="B5" t="str">
        <f>"T1136-4"</f>
        <v>T1136-4</v>
      </c>
      <c r="C5" t="str">
        <f t="shared" si="1"/>
        <v>VIA PER CASTELNUOVO BELBO VICINO AL 39-</v>
      </c>
      <c r="D5" t="str">
        <f t="shared" si="2"/>
        <v>000</v>
      </c>
      <c r="E5">
        <v>18</v>
      </c>
      <c r="F5" t="str">
        <f>"147"</f>
        <v>147</v>
      </c>
      <c r="G5" t="str">
        <f t="shared" si="3"/>
        <v>0000</v>
      </c>
    </row>
    <row r="6" spans="1:7">
      <c r="A6" t="str">
        <f t="shared" si="0"/>
        <v>BERGAMASCO</v>
      </c>
      <c r="B6" t="str">
        <f>"T1136-5"</f>
        <v>T1136-5</v>
      </c>
      <c r="C6" t="str">
        <f t="shared" si="1"/>
        <v>VIA PER CASTELNUOVO BELBO VICINO AL 39-</v>
      </c>
      <c r="D6" t="str">
        <f t="shared" si="2"/>
        <v>000</v>
      </c>
      <c r="E6">
        <v>19</v>
      </c>
      <c r="F6" t="str">
        <f>"67"</f>
        <v>67</v>
      </c>
      <c r="G6" t="str">
        <f t="shared" si="3"/>
        <v>0000</v>
      </c>
    </row>
    <row r="7" spans="1:7">
      <c r="A7" t="str">
        <f t="shared" si="0"/>
        <v>BERGAMASCO</v>
      </c>
      <c r="B7" t="str">
        <f>"T1136-6"</f>
        <v>T1136-6</v>
      </c>
      <c r="C7" t="str">
        <f t="shared" si="1"/>
        <v>VIA PER CASTELNUOVO BELBO VICINO AL 39-</v>
      </c>
      <c r="D7" t="str">
        <f t="shared" si="2"/>
        <v>000</v>
      </c>
      <c r="E7">
        <v>19</v>
      </c>
      <c r="F7" t="str">
        <f>"67"</f>
        <v>67</v>
      </c>
      <c r="G7" t="str">
        <f t="shared" si="3"/>
        <v>0000</v>
      </c>
    </row>
    <row r="8" spans="1:7">
      <c r="A8" t="str">
        <f t="shared" si="0"/>
        <v>BERGAMASCO</v>
      </c>
      <c r="B8" t="str">
        <f>"T1136-7"</f>
        <v>T1136-7</v>
      </c>
      <c r="C8" t="str">
        <f t="shared" si="1"/>
        <v>VIA PER CASTELNUOVO BELBO VICINO AL 39-</v>
      </c>
      <c r="D8" t="str">
        <f t="shared" si="2"/>
        <v>000</v>
      </c>
      <c r="E8">
        <v>18</v>
      </c>
      <c r="F8" t="str">
        <f>"233"</f>
        <v>233</v>
      </c>
      <c r="G8" t="str">
        <f t="shared" si="3"/>
        <v>0000</v>
      </c>
    </row>
    <row r="9" spans="1:7">
      <c r="A9" t="str">
        <f t="shared" si="0"/>
        <v>BERGAMASCO</v>
      </c>
      <c r="B9" t="str">
        <f>"T1136-8"</f>
        <v>T1136-8</v>
      </c>
      <c r="C9" t="str">
        <f t="shared" si="1"/>
        <v>VIA PER CASTELNUOVO BELBO VICINO AL 39-</v>
      </c>
      <c r="D9" t="str">
        <f t="shared" si="2"/>
        <v>000</v>
      </c>
      <c r="E9">
        <v>18</v>
      </c>
      <c r="F9" t="str">
        <f>"241"</f>
        <v>241</v>
      </c>
      <c r="G9" t="str">
        <f t="shared" si="3"/>
        <v>0000</v>
      </c>
    </row>
    <row r="10" spans="1:7">
      <c r="A10" t="str">
        <f t="shared" si="0"/>
        <v>BERGAMASCO</v>
      </c>
      <c r="B10" t="str">
        <f>"T1136-9"</f>
        <v>T1136-9</v>
      </c>
      <c r="C10" t="str">
        <f t="shared" si="1"/>
        <v>VIA PER CASTELNUOVO BELBO VICINO AL 39-</v>
      </c>
      <c r="D10" t="str">
        <f t="shared" si="2"/>
        <v>000</v>
      </c>
      <c r="E10">
        <v>18</v>
      </c>
      <c r="F10" t="str">
        <f>"266"</f>
        <v>266</v>
      </c>
      <c r="G10" t="str">
        <f t="shared" si="3"/>
        <v>0000</v>
      </c>
    </row>
    <row r="11" spans="1:7">
      <c r="A11" t="str">
        <f>"MORGEX"</f>
        <v>MORGEX</v>
      </c>
      <c r="B11" t="str">
        <f>"T902-1"</f>
        <v>T902-1</v>
      </c>
      <c r="C11" t="str">
        <f>"STRADA VIC.LE DI CUVALOP  1-"</f>
        <v>STRADA VIC.LE DI CUVALOP  1-</v>
      </c>
      <c r="D11" t="str">
        <f t="shared" ref="D11:D41" si="4">"U"</f>
        <v>U</v>
      </c>
      <c r="E11">
        <v>44</v>
      </c>
      <c r="F11" t="str">
        <f>"402"</f>
        <v>402</v>
      </c>
      <c r="G11" t="str">
        <f t="shared" si="3"/>
        <v>0000</v>
      </c>
    </row>
    <row r="12" spans="1:7">
      <c r="A12" t="str">
        <f>"BUSALLA"</f>
        <v>BUSALLA</v>
      </c>
      <c r="B12" t="str">
        <f>"T864-1"</f>
        <v>T864-1</v>
      </c>
      <c r="C12" t="str">
        <f>"VIA PRIVATA DE FERRARI VICINO AL 24-"</f>
        <v>VIA PRIVATA DE FERRARI VICINO AL 24-</v>
      </c>
      <c r="D12" t="str">
        <f t="shared" si="4"/>
        <v>U</v>
      </c>
      <c r="E12">
        <v>19</v>
      </c>
      <c r="F12" t="str">
        <f>"289"</f>
        <v>289</v>
      </c>
      <c r="G12" t="str">
        <f t="shared" si="3"/>
        <v>0000</v>
      </c>
    </row>
    <row r="13" spans="1:7">
      <c r="A13" t="str">
        <f>"CERANESI"</f>
        <v>CERANESI</v>
      </c>
      <c r="B13" t="str">
        <f>"T978-1"</f>
        <v>T978-1</v>
      </c>
      <c r="C13" t="str">
        <f>"VIA LIVELLATO VICINO AL 33-"</f>
        <v>VIA LIVELLATO VICINO AL 33-</v>
      </c>
      <c r="D13" t="str">
        <f t="shared" si="4"/>
        <v>U</v>
      </c>
      <c r="E13">
        <v>32</v>
      </c>
      <c r="F13" t="str">
        <f>"220"</f>
        <v>220</v>
      </c>
      <c r="G13" t="str">
        <f t="shared" si="3"/>
        <v>0000</v>
      </c>
    </row>
    <row r="14" spans="1:7">
      <c r="A14" t="str">
        <f>"CERANESI"</f>
        <v>CERANESI</v>
      </c>
      <c r="B14" t="str">
        <f>"T978-2"</f>
        <v>T978-2</v>
      </c>
      <c r="C14" t="str">
        <f>"VIA LIVELLATO VICINO AL 33-"</f>
        <v>VIA LIVELLATO VICINO AL 33-</v>
      </c>
      <c r="D14" t="str">
        <f t="shared" si="4"/>
        <v>U</v>
      </c>
      <c r="E14">
        <v>32</v>
      </c>
      <c r="F14" t="str">
        <f>"221"</f>
        <v>221</v>
      </c>
      <c r="G14" t="str">
        <f t="shared" si="3"/>
        <v>0000</v>
      </c>
    </row>
    <row r="15" spans="1:7">
      <c r="A15" t="str">
        <f t="shared" ref="A15:A41" si="5">"SANT'OLCESE"</f>
        <v>SANT'OLCESE</v>
      </c>
      <c r="B15" t="str">
        <f>"T969-1"</f>
        <v>T969-1</v>
      </c>
      <c r="C15" t="str">
        <f t="shared" ref="C15:C26" si="6">"VIA CASSISSA VICINO AL 2-"</f>
        <v>VIA CASSISSA VICINO AL 2-</v>
      </c>
      <c r="D15" t="str">
        <f t="shared" si="4"/>
        <v>U</v>
      </c>
      <c r="E15">
        <v>5</v>
      </c>
      <c r="F15" t="str">
        <f>"291"</f>
        <v>291</v>
      </c>
      <c r="G15" t="str">
        <f t="shared" si="3"/>
        <v>0000</v>
      </c>
    </row>
    <row r="16" spans="1:7">
      <c r="A16" t="str">
        <f t="shared" si="5"/>
        <v>SANT'OLCESE</v>
      </c>
      <c r="B16" t="str">
        <f>"T969-2"</f>
        <v>T969-2</v>
      </c>
      <c r="C16" t="str">
        <f t="shared" si="6"/>
        <v>VIA CASSISSA VICINO AL 2-</v>
      </c>
      <c r="D16" t="str">
        <f t="shared" si="4"/>
        <v>U</v>
      </c>
      <c r="E16">
        <v>5</v>
      </c>
      <c r="F16" t="str">
        <f>"295"</f>
        <v>295</v>
      </c>
      <c r="G16" t="str">
        <f t="shared" si="3"/>
        <v>0000</v>
      </c>
    </row>
    <row r="17" spans="1:7">
      <c r="A17" t="str">
        <f t="shared" si="5"/>
        <v>SANT'OLCESE</v>
      </c>
      <c r="B17" t="str">
        <f>"T969-3"</f>
        <v>T969-3</v>
      </c>
      <c r="C17" t="str">
        <f t="shared" si="6"/>
        <v>VIA CASSISSA VICINO AL 2-</v>
      </c>
      <c r="D17" t="str">
        <f t="shared" si="4"/>
        <v>U</v>
      </c>
      <c r="E17">
        <v>5</v>
      </c>
      <c r="F17" t="str">
        <f>"611"</f>
        <v>611</v>
      </c>
      <c r="G17" t="str">
        <f t="shared" si="3"/>
        <v>0000</v>
      </c>
    </row>
    <row r="18" spans="1:7">
      <c r="A18" t="str">
        <f t="shared" si="5"/>
        <v>SANT'OLCESE</v>
      </c>
      <c r="B18" t="str">
        <f>"T969-4"</f>
        <v>T969-4</v>
      </c>
      <c r="C18" t="str">
        <f t="shared" si="6"/>
        <v>VIA CASSISSA VICINO AL 2-</v>
      </c>
      <c r="D18" t="str">
        <f t="shared" si="4"/>
        <v>U</v>
      </c>
      <c r="E18">
        <v>5</v>
      </c>
      <c r="F18" t="str">
        <f>"617"</f>
        <v>617</v>
      </c>
      <c r="G18" t="str">
        <f t="shared" si="3"/>
        <v>0000</v>
      </c>
    </row>
    <row r="19" spans="1:7">
      <c r="A19" t="str">
        <f t="shared" si="5"/>
        <v>SANT'OLCESE</v>
      </c>
      <c r="B19" t="str">
        <f>"T970-1"</f>
        <v>T970-1</v>
      </c>
      <c r="C19" t="str">
        <f t="shared" si="6"/>
        <v>VIA CASSISSA VICINO AL 2-</v>
      </c>
      <c r="D19" t="str">
        <f t="shared" si="4"/>
        <v>U</v>
      </c>
      <c r="E19">
        <v>5</v>
      </c>
      <c r="F19" t="str">
        <f>"598"</f>
        <v>598</v>
      </c>
      <c r="G19" t="str">
        <f t="shared" si="3"/>
        <v>0000</v>
      </c>
    </row>
    <row r="20" spans="1:7">
      <c r="A20" t="str">
        <f t="shared" si="5"/>
        <v>SANT'OLCESE</v>
      </c>
      <c r="B20" t="str">
        <f>"T970-2"</f>
        <v>T970-2</v>
      </c>
      <c r="C20" t="str">
        <f t="shared" si="6"/>
        <v>VIA CASSISSA VICINO AL 2-</v>
      </c>
      <c r="D20" t="str">
        <f t="shared" si="4"/>
        <v>U</v>
      </c>
      <c r="E20">
        <v>5</v>
      </c>
      <c r="F20" t="str">
        <f>"602"</f>
        <v>602</v>
      </c>
      <c r="G20" t="str">
        <f t="shared" si="3"/>
        <v>0000</v>
      </c>
    </row>
    <row r="21" spans="1:7">
      <c r="A21" t="str">
        <f t="shared" si="5"/>
        <v>SANT'OLCESE</v>
      </c>
      <c r="B21" t="str">
        <f>"T970-3"</f>
        <v>T970-3</v>
      </c>
      <c r="C21" t="str">
        <f t="shared" si="6"/>
        <v>VIA CASSISSA VICINO AL 2-</v>
      </c>
      <c r="D21" t="str">
        <f t="shared" si="4"/>
        <v>U</v>
      </c>
      <c r="E21">
        <v>5</v>
      </c>
      <c r="F21" t="str">
        <f>"603"</f>
        <v>603</v>
      </c>
      <c r="G21" t="str">
        <f t="shared" si="3"/>
        <v>0000</v>
      </c>
    </row>
    <row r="22" spans="1:7">
      <c r="A22" t="str">
        <f t="shared" si="5"/>
        <v>SANT'OLCESE</v>
      </c>
      <c r="B22" t="str">
        <f>"T970-4"</f>
        <v>T970-4</v>
      </c>
      <c r="C22" t="str">
        <f t="shared" si="6"/>
        <v>VIA CASSISSA VICINO AL 2-</v>
      </c>
      <c r="D22" t="str">
        <f t="shared" si="4"/>
        <v>U</v>
      </c>
      <c r="E22">
        <v>5</v>
      </c>
      <c r="F22" t="str">
        <f>"606"</f>
        <v>606</v>
      </c>
      <c r="G22" t="str">
        <f t="shared" si="3"/>
        <v>0000</v>
      </c>
    </row>
    <row r="23" spans="1:7">
      <c r="A23" t="str">
        <f t="shared" si="5"/>
        <v>SANT'OLCESE</v>
      </c>
      <c r="B23" t="str">
        <f>"T970-5"</f>
        <v>T970-5</v>
      </c>
      <c r="C23" t="str">
        <f t="shared" si="6"/>
        <v>VIA CASSISSA VICINO AL 2-</v>
      </c>
      <c r="D23" t="str">
        <f t="shared" si="4"/>
        <v>U</v>
      </c>
      <c r="E23">
        <v>5</v>
      </c>
      <c r="F23" t="str">
        <f>"607"</f>
        <v>607</v>
      </c>
      <c r="G23" t="str">
        <f t="shared" si="3"/>
        <v>0000</v>
      </c>
    </row>
    <row r="24" spans="1:7">
      <c r="A24" t="str">
        <f t="shared" si="5"/>
        <v>SANT'OLCESE</v>
      </c>
      <c r="B24" t="str">
        <f>"T970-6"</f>
        <v>T970-6</v>
      </c>
      <c r="C24" t="str">
        <f t="shared" si="6"/>
        <v>VIA CASSISSA VICINO AL 2-</v>
      </c>
      <c r="D24" t="str">
        <f t="shared" si="4"/>
        <v>U</v>
      </c>
      <c r="E24">
        <v>5</v>
      </c>
      <c r="F24" t="str">
        <f>"609"</f>
        <v>609</v>
      </c>
      <c r="G24" t="str">
        <f t="shared" si="3"/>
        <v>0000</v>
      </c>
    </row>
    <row r="25" spans="1:7">
      <c r="A25" t="str">
        <f t="shared" si="5"/>
        <v>SANT'OLCESE</v>
      </c>
      <c r="B25" t="str">
        <f>"T970-7"</f>
        <v>T970-7</v>
      </c>
      <c r="C25" t="str">
        <f t="shared" si="6"/>
        <v>VIA CASSISSA VICINO AL 2-</v>
      </c>
      <c r="D25" t="str">
        <f t="shared" si="4"/>
        <v>U</v>
      </c>
      <c r="E25">
        <v>5</v>
      </c>
      <c r="F25" t="str">
        <f>"610"</f>
        <v>610</v>
      </c>
      <c r="G25" t="str">
        <f t="shared" si="3"/>
        <v>0000</v>
      </c>
    </row>
    <row r="26" spans="1:7">
      <c r="A26" t="str">
        <f t="shared" si="5"/>
        <v>SANT'OLCESE</v>
      </c>
      <c r="B26" t="str">
        <f>"T970-8"</f>
        <v>T970-8</v>
      </c>
      <c r="C26" t="str">
        <f t="shared" si="6"/>
        <v>VIA CASSISSA VICINO AL 2-</v>
      </c>
      <c r="D26" t="str">
        <f t="shared" si="4"/>
        <v>U</v>
      </c>
      <c r="E26">
        <v>5</v>
      </c>
      <c r="F26" t="str">
        <f>"616"</f>
        <v>616</v>
      </c>
      <c r="G26" t="str">
        <f t="shared" si="3"/>
        <v>0000</v>
      </c>
    </row>
    <row r="27" spans="1:7">
      <c r="A27" t="str">
        <f t="shared" si="5"/>
        <v>SANT'OLCESE</v>
      </c>
      <c r="B27" t="str">
        <f>"T971-1"</f>
        <v>T971-1</v>
      </c>
      <c r="C27" t="str">
        <f t="shared" ref="C27:C41" si="7">"VIA CARLO LEVI VICINO AL 2-"</f>
        <v>VIA CARLO LEVI VICINO AL 2-</v>
      </c>
      <c r="D27" t="str">
        <f t="shared" si="4"/>
        <v>U</v>
      </c>
      <c r="E27">
        <v>5</v>
      </c>
      <c r="F27" t="str">
        <f>"281"</f>
        <v>281</v>
      </c>
      <c r="G27" t="str">
        <f t="shared" si="3"/>
        <v>0000</v>
      </c>
    </row>
    <row r="28" spans="1:7">
      <c r="A28" t="str">
        <f t="shared" si="5"/>
        <v>SANT'OLCESE</v>
      </c>
      <c r="B28" t="str">
        <f>"T971-2"</f>
        <v>T971-2</v>
      </c>
      <c r="C28" t="str">
        <f t="shared" si="7"/>
        <v>VIA CARLO LEVI VICINO AL 2-</v>
      </c>
      <c r="D28" t="str">
        <f t="shared" si="4"/>
        <v>U</v>
      </c>
      <c r="E28">
        <v>5</v>
      </c>
      <c r="F28" t="str">
        <f>"421"</f>
        <v>421</v>
      </c>
      <c r="G28" t="str">
        <f t="shared" si="3"/>
        <v>0000</v>
      </c>
    </row>
    <row r="29" spans="1:7">
      <c r="A29" t="str">
        <f t="shared" si="5"/>
        <v>SANT'OLCESE</v>
      </c>
      <c r="B29" t="str">
        <f>"T971-3"</f>
        <v>T971-3</v>
      </c>
      <c r="C29" t="str">
        <f t="shared" si="7"/>
        <v>VIA CARLO LEVI VICINO AL 2-</v>
      </c>
      <c r="D29" t="str">
        <f t="shared" si="4"/>
        <v>U</v>
      </c>
      <c r="E29">
        <v>5</v>
      </c>
      <c r="F29" t="str">
        <f>"434"</f>
        <v>434</v>
      </c>
      <c r="G29" t="str">
        <f t="shared" si="3"/>
        <v>0000</v>
      </c>
    </row>
    <row r="30" spans="1:7">
      <c r="A30" t="str">
        <f t="shared" si="5"/>
        <v>SANT'OLCESE</v>
      </c>
      <c r="B30" t="str">
        <f>"T971-4"</f>
        <v>T971-4</v>
      </c>
      <c r="C30" t="str">
        <f t="shared" si="7"/>
        <v>VIA CARLO LEVI VICINO AL 2-</v>
      </c>
      <c r="D30" t="str">
        <f t="shared" si="4"/>
        <v>U</v>
      </c>
      <c r="E30">
        <v>5</v>
      </c>
      <c r="F30" t="str">
        <f>"441"</f>
        <v>441</v>
      </c>
      <c r="G30" t="str">
        <f t="shared" si="3"/>
        <v>0000</v>
      </c>
    </row>
    <row r="31" spans="1:7">
      <c r="A31" t="str">
        <f t="shared" si="5"/>
        <v>SANT'OLCESE</v>
      </c>
      <c r="B31" t="str">
        <f>"T971-5"</f>
        <v>T971-5</v>
      </c>
      <c r="C31" t="str">
        <f t="shared" si="7"/>
        <v>VIA CARLO LEVI VICINO AL 2-</v>
      </c>
      <c r="D31" t="str">
        <f t="shared" si="4"/>
        <v>U</v>
      </c>
      <c r="E31">
        <v>5</v>
      </c>
      <c r="F31" t="str">
        <f>"443"</f>
        <v>443</v>
      </c>
      <c r="G31" t="str">
        <f t="shared" si="3"/>
        <v>0000</v>
      </c>
    </row>
    <row r="32" spans="1:7">
      <c r="A32" t="str">
        <f t="shared" si="5"/>
        <v>SANT'OLCESE</v>
      </c>
      <c r="B32" t="str">
        <f>"T971-6"</f>
        <v>T971-6</v>
      </c>
      <c r="C32" t="str">
        <f t="shared" si="7"/>
        <v>VIA CARLO LEVI VICINO AL 2-</v>
      </c>
      <c r="D32" t="str">
        <f t="shared" si="4"/>
        <v>U</v>
      </c>
      <c r="E32">
        <v>5</v>
      </c>
      <c r="F32" t="str">
        <f>"444"</f>
        <v>444</v>
      </c>
      <c r="G32" t="str">
        <f t="shared" si="3"/>
        <v>0000</v>
      </c>
    </row>
    <row r="33" spans="1:7">
      <c r="A33" t="str">
        <f t="shared" si="5"/>
        <v>SANT'OLCESE</v>
      </c>
      <c r="B33" t="str">
        <f>"T971-8"</f>
        <v>T971-8</v>
      </c>
      <c r="C33" t="str">
        <f t="shared" si="7"/>
        <v>VIA CARLO LEVI VICINO AL 2-</v>
      </c>
      <c r="D33" t="str">
        <f t="shared" si="4"/>
        <v>U</v>
      </c>
      <c r="E33">
        <v>5</v>
      </c>
      <c r="F33" t="str">
        <f>"623"</f>
        <v>623</v>
      </c>
      <c r="G33" t="str">
        <f t="shared" si="3"/>
        <v>0000</v>
      </c>
    </row>
    <row r="34" spans="1:7">
      <c r="A34" t="str">
        <f t="shared" si="5"/>
        <v>SANT'OLCESE</v>
      </c>
      <c r="B34" t="str">
        <f>"T971-9"</f>
        <v>T971-9</v>
      </c>
      <c r="C34" t="str">
        <f t="shared" si="7"/>
        <v>VIA CARLO LEVI VICINO AL 2-</v>
      </c>
      <c r="D34" t="str">
        <f t="shared" si="4"/>
        <v>U</v>
      </c>
      <c r="E34">
        <v>5</v>
      </c>
      <c r="F34" t="str">
        <f>"275"</f>
        <v>275</v>
      </c>
      <c r="G34" t="str">
        <f t="shared" si="3"/>
        <v>0000</v>
      </c>
    </row>
    <row r="35" spans="1:7">
      <c r="A35" t="str">
        <f t="shared" si="5"/>
        <v>SANT'OLCESE</v>
      </c>
      <c r="B35" t="str">
        <f>"T971-10"</f>
        <v>T971-10</v>
      </c>
      <c r="C35" t="str">
        <f t="shared" si="7"/>
        <v>VIA CARLO LEVI VICINO AL 2-</v>
      </c>
      <c r="D35" t="str">
        <f t="shared" si="4"/>
        <v>U</v>
      </c>
      <c r="E35">
        <v>5</v>
      </c>
      <c r="F35" t="str">
        <f>"276"</f>
        <v>276</v>
      </c>
      <c r="G35" t="str">
        <f t="shared" si="3"/>
        <v>0000</v>
      </c>
    </row>
    <row r="36" spans="1:7">
      <c r="A36" t="str">
        <f t="shared" si="5"/>
        <v>SANT'OLCESE</v>
      </c>
      <c r="B36" t="str">
        <f>"T971-11"</f>
        <v>T971-11</v>
      </c>
      <c r="C36" t="str">
        <f t="shared" si="7"/>
        <v>VIA CARLO LEVI VICINO AL 2-</v>
      </c>
      <c r="D36" t="str">
        <f t="shared" si="4"/>
        <v>U</v>
      </c>
      <c r="E36">
        <v>5</v>
      </c>
      <c r="F36" t="str">
        <f>"277"</f>
        <v>277</v>
      </c>
      <c r="G36" t="str">
        <f t="shared" si="3"/>
        <v>0000</v>
      </c>
    </row>
    <row r="37" spans="1:7">
      <c r="A37" t="str">
        <f t="shared" si="5"/>
        <v>SANT'OLCESE</v>
      </c>
      <c r="B37" t="str">
        <f>"T971-12"</f>
        <v>T971-12</v>
      </c>
      <c r="C37" t="str">
        <f t="shared" si="7"/>
        <v>VIA CARLO LEVI VICINO AL 2-</v>
      </c>
      <c r="D37" t="str">
        <f t="shared" si="4"/>
        <v>U</v>
      </c>
      <c r="E37">
        <v>5</v>
      </c>
      <c r="F37" t="str">
        <f>"274"</f>
        <v>274</v>
      </c>
      <c r="G37" t="str">
        <f t="shared" si="3"/>
        <v>0000</v>
      </c>
    </row>
    <row r="38" spans="1:7">
      <c r="A38" t="str">
        <f t="shared" si="5"/>
        <v>SANT'OLCESE</v>
      </c>
      <c r="B38" t="str">
        <f>"T972-1"</f>
        <v>T972-1</v>
      </c>
      <c r="C38" t="str">
        <f t="shared" si="7"/>
        <v>VIA CARLO LEVI VICINO AL 2-</v>
      </c>
      <c r="D38" t="str">
        <f t="shared" si="4"/>
        <v>U</v>
      </c>
      <c r="E38">
        <v>5</v>
      </c>
      <c r="F38" t="str">
        <f>"624"</f>
        <v>624</v>
      </c>
      <c r="G38" t="str">
        <f t="shared" si="3"/>
        <v>0000</v>
      </c>
    </row>
    <row r="39" spans="1:7">
      <c r="A39" t="str">
        <f t="shared" si="5"/>
        <v>SANT'OLCESE</v>
      </c>
      <c r="B39" t="str">
        <f>"T972-2"</f>
        <v>T972-2</v>
      </c>
      <c r="C39" t="str">
        <f t="shared" si="7"/>
        <v>VIA CARLO LEVI VICINO AL 2-</v>
      </c>
      <c r="D39" t="str">
        <f t="shared" si="4"/>
        <v>U</v>
      </c>
      <c r="E39">
        <v>5</v>
      </c>
      <c r="F39" t="str">
        <f>"273"</f>
        <v>273</v>
      </c>
      <c r="G39" t="str">
        <f t="shared" si="3"/>
        <v>0000</v>
      </c>
    </row>
    <row r="40" spans="1:7">
      <c r="A40" t="str">
        <f t="shared" si="5"/>
        <v>SANT'OLCESE</v>
      </c>
      <c r="B40" t="str">
        <f>"T972-3"</f>
        <v>T972-3</v>
      </c>
      <c r="C40" t="str">
        <f t="shared" si="7"/>
        <v>VIA CARLO LEVI VICINO AL 2-</v>
      </c>
      <c r="D40" t="str">
        <f t="shared" si="4"/>
        <v>U</v>
      </c>
      <c r="E40">
        <v>5</v>
      </c>
      <c r="F40" t="str">
        <f>"622"</f>
        <v>622</v>
      </c>
      <c r="G40" t="str">
        <f t="shared" si="3"/>
        <v>0000</v>
      </c>
    </row>
    <row r="41" spans="1:7">
      <c r="A41" t="str">
        <f t="shared" si="5"/>
        <v>SANT'OLCESE</v>
      </c>
      <c r="B41" t="str">
        <f>"T972-4"</f>
        <v>T972-4</v>
      </c>
      <c r="C41" t="str">
        <f t="shared" si="7"/>
        <v>VIA CARLO LEVI VICINO AL 2-</v>
      </c>
      <c r="D41" t="str">
        <f t="shared" si="4"/>
        <v>U</v>
      </c>
      <c r="E41">
        <v>5</v>
      </c>
      <c r="F41" t="str">
        <f>"625"</f>
        <v>625</v>
      </c>
      <c r="G41" t="str">
        <f t="shared" si="3"/>
        <v>0000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65"/>
  <sheetViews>
    <sheetView workbookViewId="0">
      <selection sqref="A1:A65536"/>
    </sheetView>
  </sheetViews>
  <sheetFormatPr defaultRowHeight="12.75"/>
  <cols>
    <col min="1" max="1" width="19.5703125" bestFit="1" customWidth="1"/>
    <col min="2" max="2" width="43.7109375" bestFit="1" customWidth="1"/>
    <col min="5" max="5" width="10" bestFit="1" customWidth="1"/>
  </cols>
  <sheetData>
    <row r="1" spans="1:6">
      <c r="A1" s="1" t="str">
        <f>"codice identificativo"</f>
        <v>codice identificativo</v>
      </c>
      <c r="B1" s="1" t="str">
        <f>"Indirizzo/Località"</f>
        <v>Indirizzo/Località</v>
      </c>
      <c r="C1" s="1" t="str">
        <f>"SEZIONE"</f>
        <v>SEZIONE</v>
      </c>
      <c r="D1" s="1" t="str">
        <f>"FOGLIO"</f>
        <v>FOGLIO</v>
      </c>
      <c r="E1" s="1" t="str">
        <f>"MAPPALE"</f>
        <v>MAPPALE</v>
      </c>
      <c r="F1" s="1" t="str">
        <f>"SUB"</f>
        <v>SUB</v>
      </c>
    </row>
    <row r="2" spans="1:6">
      <c r="A2" t="str">
        <f>"T12-1"</f>
        <v>T12-1</v>
      </c>
      <c r="B2" t="str">
        <f>"VIA VENEZIA VICINO AL 5-"</f>
        <v>VIA VENEZIA VICINO AL 5-</v>
      </c>
      <c r="C2" t="str">
        <f t="shared" ref="C2:C17" si="0">"1"</f>
        <v>1</v>
      </c>
      <c r="D2">
        <v>30</v>
      </c>
      <c r="E2" t="str">
        <f>"294"</f>
        <v>294</v>
      </c>
      <c r="F2" t="str">
        <f t="shared" ref="F2:F44" si="1">"0000"</f>
        <v>0000</v>
      </c>
    </row>
    <row r="3" spans="1:6">
      <c r="A3" t="str">
        <f>"T12-2"</f>
        <v>T12-2</v>
      </c>
      <c r="B3" t="str">
        <f>"VIA VENEZIA VICINO AL 5-"</f>
        <v>VIA VENEZIA VICINO AL 5-</v>
      </c>
      <c r="C3" t="str">
        <f t="shared" si="0"/>
        <v>1</v>
      </c>
      <c r="D3">
        <v>30</v>
      </c>
      <c r="E3" t="str">
        <f>"295"</f>
        <v>295</v>
      </c>
      <c r="F3" t="str">
        <f t="shared" si="1"/>
        <v>0000</v>
      </c>
    </row>
    <row r="4" spans="1:6">
      <c r="A4" t="str">
        <f>"T12-3"</f>
        <v>T12-3</v>
      </c>
      <c r="B4" t="str">
        <f>"VIA VENEZIA VICINO AL 5-"</f>
        <v>VIA VENEZIA VICINO AL 5-</v>
      </c>
      <c r="C4" t="str">
        <f t="shared" si="0"/>
        <v>1</v>
      </c>
      <c r="D4">
        <v>30</v>
      </c>
      <c r="E4" t="str">
        <f>"345"</f>
        <v>345</v>
      </c>
      <c r="F4" t="str">
        <f t="shared" si="1"/>
        <v>0000</v>
      </c>
    </row>
    <row r="5" spans="1:6">
      <c r="A5" t="str">
        <f>"T15-1"</f>
        <v>T15-1</v>
      </c>
      <c r="B5" t="str">
        <f>"PIAZZA DINEGRO  3-"</f>
        <v>PIAZZA DINEGRO  3-</v>
      </c>
      <c r="C5" t="str">
        <f t="shared" si="0"/>
        <v>1</v>
      </c>
      <c r="D5">
        <v>43</v>
      </c>
      <c r="E5" t="str">
        <f>"47"</f>
        <v>47</v>
      </c>
      <c r="F5" t="str">
        <f t="shared" si="1"/>
        <v>0000</v>
      </c>
    </row>
    <row r="6" spans="1:6">
      <c r="A6" t="str">
        <f>"T26-1"</f>
        <v>T26-1</v>
      </c>
      <c r="B6" t="str">
        <f t="shared" ref="B6:B11" si="2">"VIA BOLOGNA VICINO AL 110AR-"</f>
        <v>VIA BOLOGNA VICINO AL 110AR-</v>
      </c>
      <c r="C6" t="str">
        <f t="shared" si="0"/>
        <v>1</v>
      </c>
      <c r="D6">
        <v>29</v>
      </c>
      <c r="E6" t="str">
        <f>"114"</f>
        <v>114</v>
      </c>
      <c r="F6" t="str">
        <f t="shared" si="1"/>
        <v>0000</v>
      </c>
    </row>
    <row r="7" spans="1:6">
      <c r="A7" t="str">
        <f>"T26-2"</f>
        <v>T26-2</v>
      </c>
      <c r="B7" t="str">
        <f t="shared" si="2"/>
        <v>VIA BOLOGNA VICINO AL 110AR-</v>
      </c>
      <c r="C7" t="str">
        <f t="shared" si="0"/>
        <v>1</v>
      </c>
      <c r="D7">
        <v>29</v>
      </c>
      <c r="E7" t="str">
        <f>"114"</f>
        <v>114</v>
      </c>
      <c r="F7" t="str">
        <f t="shared" si="1"/>
        <v>0000</v>
      </c>
    </row>
    <row r="8" spans="1:6">
      <c r="A8" t="str">
        <f>"T26-3"</f>
        <v>T26-3</v>
      </c>
      <c r="B8" t="str">
        <f t="shared" si="2"/>
        <v>VIA BOLOGNA VICINO AL 110AR-</v>
      </c>
      <c r="C8" t="str">
        <f t="shared" si="0"/>
        <v>1</v>
      </c>
      <c r="D8">
        <v>29</v>
      </c>
      <c r="E8" t="str">
        <f>"820"</f>
        <v>820</v>
      </c>
      <c r="F8" t="str">
        <f t="shared" si="1"/>
        <v>0000</v>
      </c>
    </row>
    <row r="9" spans="1:6">
      <c r="A9" t="str">
        <f>"T26-5"</f>
        <v>T26-5</v>
      </c>
      <c r="B9" t="str">
        <f t="shared" si="2"/>
        <v>VIA BOLOGNA VICINO AL 110AR-</v>
      </c>
      <c r="C9" t="str">
        <f t="shared" si="0"/>
        <v>1</v>
      </c>
      <c r="D9">
        <v>29</v>
      </c>
      <c r="E9" t="str">
        <f>"118"</f>
        <v>118</v>
      </c>
      <c r="F9" t="str">
        <f t="shared" si="1"/>
        <v>0000</v>
      </c>
    </row>
    <row r="10" spans="1:6">
      <c r="A10" t="str">
        <f>"T26-6"</f>
        <v>T26-6</v>
      </c>
      <c r="B10" t="str">
        <f t="shared" si="2"/>
        <v>VIA BOLOGNA VICINO AL 110AR-</v>
      </c>
      <c r="C10" t="str">
        <f t="shared" si="0"/>
        <v>1</v>
      </c>
      <c r="D10">
        <v>29</v>
      </c>
      <c r="E10" t="str">
        <f>"118"</f>
        <v>118</v>
      </c>
      <c r="F10" t="str">
        <f t="shared" si="1"/>
        <v>0000</v>
      </c>
    </row>
    <row r="11" spans="1:6">
      <c r="A11" t="str">
        <f>"T26-8"</f>
        <v>T26-8</v>
      </c>
      <c r="B11" t="str">
        <f t="shared" si="2"/>
        <v>VIA BOLOGNA VICINO AL 110AR-</v>
      </c>
      <c r="C11" t="str">
        <f t="shared" si="0"/>
        <v>1</v>
      </c>
      <c r="D11">
        <v>29</v>
      </c>
      <c r="E11" t="str">
        <f>"99999"</f>
        <v>99999</v>
      </c>
      <c r="F11" t="str">
        <f t="shared" si="1"/>
        <v>0000</v>
      </c>
    </row>
    <row r="12" spans="1:6">
      <c r="A12" t="str">
        <f>"T27-1"</f>
        <v>T27-1</v>
      </c>
      <c r="B12" t="str">
        <f t="shared" ref="B12:B17" si="3">"VIA BOLOGNA VICINO AL 110R-"</f>
        <v>VIA BOLOGNA VICINO AL 110R-</v>
      </c>
      <c r="C12" t="str">
        <f t="shared" si="0"/>
        <v>1</v>
      </c>
      <c r="D12">
        <v>29</v>
      </c>
      <c r="E12" t="str">
        <f>"114"</f>
        <v>114</v>
      </c>
      <c r="F12" t="str">
        <f t="shared" si="1"/>
        <v>0000</v>
      </c>
    </row>
    <row r="13" spans="1:6">
      <c r="A13" t="str">
        <f>"T27-2"</f>
        <v>T27-2</v>
      </c>
      <c r="B13" t="str">
        <f t="shared" si="3"/>
        <v>VIA BOLOGNA VICINO AL 110R-</v>
      </c>
      <c r="C13" t="str">
        <f t="shared" si="0"/>
        <v>1</v>
      </c>
      <c r="D13">
        <v>29</v>
      </c>
      <c r="E13" t="str">
        <f>"820"</f>
        <v>820</v>
      </c>
      <c r="F13" t="str">
        <f t="shared" si="1"/>
        <v>0000</v>
      </c>
    </row>
    <row r="14" spans="1:6">
      <c r="A14" t="str">
        <f>"T27-3"</f>
        <v>T27-3</v>
      </c>
      <c r="B14" t="str">
        <f t="shared" si="3"/>
        <v>VIA BOLOGNA VICINO AL 110R-</v>
      </c>
      <c r="C14" t="str">
        <f t="shared" si="0"/>
        <v>1</v>
      </c>
      <c r="D14">
        <v>29</v>
      </c>
      <c r="E14" t="str">
        <f>"341"</f>
        <v>341</v>
      </c>
      <c r="F14" t="str">
        <f t="shared" si="1"/>
        <v>0000</v>
      </c>
    </row>
    <row r="15" spans="1:6">
      <c r="A15" t="str">
        <f>"T28-1"</f>
        <v>T28-1</v>
      </c>
      <c r="B15" t="str">
        <f t="shared" si="3"/>
        <v>VIA BOLOGNA VICINO AL 110R-</v>
      </c>
      <c r="C15" t="str">
        <f t="shared" si="0"/>
        <v>1</v>
      </c>
      <c r="D15">
        <v>29</v>
      </c>
      <c r="E15" t="str">
        <f>"114"</f>
        <v>114</v>
      </c>
      <c r="F15" t="str">
        <f t="shared" si="1"/>
        <v>0000</v>
      </c>
    </row>
    <row r="16" spans="1:6">
      <c r="A16" t="str">
        <f>"T28-2"</f>
        <v>T28-2</v>
      </c>
      <c r="B16" t="str">
        <f t="shared" si="3"/>
        <v>VIA BOLOGNA VICINO AL 110R-</v>
      </c>
      <c r="C16" t="str">
        <f t="shared" si="0"/>
        <v>1</v>
      </c>
      <c r="D16">
        <v>29</v>
      </c>
      <c r="E16" t="str">
        <f>"114"</f>
        <v>114</v>
      </c>
      <c r="F16" t="str">
        <f t="shared" si="1"/>
        <v>0000</v>
      </c>
    </row>
    <row r="17" spans="1:6">
      <c r="A17" t="str">
        <f>"T28-3"</f>
        <v>T28-3</v>
      </c>
      <c r="B17" t="str">
        <f t="shared" si="3"/>
        <v>VIA BOLOGNA VICINO AL 110R-</v>
      </c>
      <c r="C17" t="str">
        <f t="shared" si="0"/>
        <v>1</v>
      </c>
      <c r="D17">
        <v>29</v>
      </c>
      <c r="E17" t="str">
        <f>"341"</f>
        <v>341</v>
      </c>
      <c r="F17" t="str">
        <f t="shared" si="1"/>
        <v>0000</v>
      </c>
    </row>
    <row r="18" spans="1:6">
      <c r="A18" t="str">
        <f>"T400-1"</f>
        <v>T400-1</v>
      </c>
      <c r="B18" t="str">
        <f t="shared" ref="B18:B23" si="4">"SALITA G B MILLELIRE VICINO AL 4-"</f>
        <v>SALITA G B MILLELIRE VICINO AL 4-</v>
      </c>
      <c r="C18" t="str">
        <f t="shared" ref="C18:C59" si="5">"4"</f>
        <v>4</v>
      </c>
      <c r="D18">
        <v>38</v>
      </c>
      <c r="E18" t="str">
        <f>"548"</f>
        <v>548</v>
      </c>
      <c r="F18" t="str">
        <f t="shared" si="1"/>
        <v>0000</v>
      </c>
    </row>
    <row r="19" spans="1:6">
      <c r="A19" t="str">
        <f>"T400-2"</f>
        <v>T400-2</v>
      </c>
      <c r="B19" t="str">
        <f t="shared" si="4"/>
        <v>SALITA G B MILLELIRE VICINO AL 4-</v>
      </c>
      <c r="C19" t="str">
        <f t="shared" si="5"/>
        <v>4</v>
      </c>
      <c r="D19">
        <v>38</v>
      </c>
      <c r="E19" t="str">
        <f>"549"</f>
        <v>549</v>
      </c>
      <c r="F19" t="str">
        <f t="shared" si="1"/>
        <v>0000</v>
      </c>
    </row>
    <row r="20" spans="1:6">
      <c r="A20" t="str">
        <f>"T400-3"</f>
        <v>T400-3</v>
      </c>
      <c r="B20" t="str">
        <f t="shared" si="4"/>
        <v>SALITA G B MILLELIRE VICINO AL 4-</v>
      </c>
      <c r="C20" t="str">
        <f t="shared" si="5"/>
        <v>4</v>
      </c>
      <c r="D20">
        <v>38</v>
      </c>
      <c r="E20" t="str">
        <f>"471"</f>
        <v>471</v>
      </c>
      <c r="F20" t="str">
        <f t="shared" si="1"/>
        <v>0000</v>
      </c>
    </row>
    <row r="21" spans="1:6">
      <c r="A21" t="str">
        <f>"T400-4"</f>
        <v>T400-4</v>
      </c>
      <c r="B21" t="str">
        <f t="shared" si="4"/>
        <v>SALITA G B MILLELIRE VICINO AL 4-</v>
      </c>
      <c r="C21" t="str">
        <f t="shared" si="5"/>
        <v>4</v>
      </c>
      <c r="D21">
        <v>38</v>
      </c>
      <c r="E21" t="str">
        <f>"1502"</f>
        <v>1502</v>
      </c>
      <c r="F21" t="str">
        <f t="shared" si="1"/>
        <v>0000</v>
      </c>
    </row>
    <row r="22" spans="1:6">
      <c r="A22" t="str">
        <f>"T400-5"</f>
        <v>T400-5</v>
      </c>
      <c r="B22" t="str">
        <f t="shared" si="4"/>
        <v>SALITA G B MILLELIRE VICINO AL 4-</v>
      </c>
      <c r="C22" t="str">
        <f t="shared" si="5"/>
        <v>4</v>
      </c>
      <c r="D22">
        <v>39</v>
      </c>
      <c r="E22" t="str">
        <f>"39"</f>
        <v>39</v>
      </c>
      <c r="F22" t="str">
        <f t="shared" si="1"/>
        <v>0000</v>
      </c>
    </row>
    <row r="23" spans="1:6">
      <c r="A23" t="str">
        <f>"T400-6"</f>
        <v>T400-6</v>
      </c>
      <c r="B23" t="str">
        <f t="shared" si="4"/>
        <v>SALITA G B MILLELIRE VICINO AL 4-</v>
      </c>
      <c r="C23" t="str">
        <f t="shared" si="5"/>
        <v>4</v>
      </c>
      <c r="D23">
        <v>39</v>
      </c>
      <c r="E23" t="str">
        <f>"636"</f>
        <v>636</v>
      </c>
      <c r="F23" t="str">
        <f t="shared" si="1"/>
        <v>0000</v>
      </c>
    </row>
    <row r="24" spans="1:6">
      <c r="A24" t="str">
        <f>"T752-1"</f>
        <v>T752-1</v>
      </c>
      <c r="B24" t="str">
        <f>"SAL FORTE DELLA CROCETTA VICINO AL 24-"</f>
        <v>SAL FORTE DELLA CROCETTA VICINO AL 24-</v>
      </c>
      <c r="C24" t="str">
        <f t="shared" si="5"/>
        <v>4</v>
      </c>
      <c r="D24">
        <v>38</v>
      </c>
      <c r="E24" t="str">
        <f>"138"</f>
        <v>138</v>
      </c>
      <c r="F24" t="str">
        <f t="shared" si="1"/>
        <v>0000</v>
      </c>
    </row>
    <row r="25" spans="1:6">
      <c r="A25" t="str">
        <f>"T752-2"</f>
        <v>T752-2</v>
      </c>
      <c r="B25" t="str">
        <f>"SAL FORTE DELLA CROCETTA VICINO AL 24-"</f>
        <v>SAL FORTE DELLA CROCETTA VICINO AL 24-</v>
      </c>
      <c r="C25" t="str">
        <f t="shared" si="5"/>
        <v>4</v>
      </c>
      <c r="D25">
        <v>38</v>
      </c>
      <c r="E25" t="str">
        <f>"139"</f>
        <v>139</v>
      </c>
      <c r="F25" t="str">
        <f t="shared" si="1"/>
        <v>0000</v>
      </c>
    </row>
    <row r="26" spans="1:6">
      <c r="A26" t="str">
        <f>"T762-1"</f>
        <v>T762-1</v>
      </c>
      <c r="B26" t="str">
        <f>"VIA PORTA DEGLI ANGELI VICINO AL 2-"</f>
        <v>VIA PORTA DEGLI ANGELI VICINO AL 2-</v>
      </c>
      <c r="C26" t="str">
        <f t="shared" si="5"/>
        <v>4</v>
      </c>
      <c r="D26">
        <v>38</v>
      </c>
      <c r="E26" t="str">
        <f>"333"</f>
        <v>333</v>
      </c>
      <c r="F26" t="str">
        <f t="shared" si="1"/>
        <v>0000</v>
      </c>
    </row>
    <row r="27" spans="1:6">
      <c r="A27" t="str">
        <f>"T762-2"</f>
        <v>T762-2</v>
      </c>
      <c r="B27" t="str">
        <f>"VIA PORTA DEGLI ANGELI VICINO AL 2-"</f>
        <v>VIA PORTA DEGLI ANGELI VICINO AL 2-</v>
      </c>
      <c r="C27" t="str">
        <f t="shared" si="5"/>
        <v>4</v>
      </c>
      <c r="D27">
        <v>38</v>
      </c>
      <c r="E27" t="str">
        <f>"334"</f>
        <v>334</v>
      </c>
      <c r="F27" t="str">
        <f t="shared" si="1"/>
        <v>0000</v>
      </c>
    </row>
    <row r="28" spans="1:6">
      <c r="A28" t="str">
        <f>"T762-3"</f>
        <v>T762-3</v>
      </c>
      <c r="B28" t="str">
        <f>"VIA PORTA DEGLI ANGELI VICINO AL 2-"</f>
        <v>VIA PORTA DEGLI ANGELI VICINO AL 2-</v>
      </c>
      <c r="C28" t="str">
        <f t="shared" si="5"/>
        <v>4</v>
      </c>
      <c r="D28">
        <v>38</v>
      </c>
      <c r="E28" t="str">
        <f>"335"</f>
        <v>335</v>
      </c>
      <c r="F28" t="str">
        <f t="shared" si="1"/>
        <v>0000</v>
      </c>
    </row>
    <row r="29" spans="1:6">
      <c r="A29" t="str">
        <f>"T762-4"</f>
        <v>T762-4</v>
      </c>
      <c r="B29" t="str">
        <f>"VIA PORTA DEGLI ANGELI VICINO AL 2-"</f>
        <v>VIA PORTA DEGLI ANGELI VICINO AL 2-</v>
      </c>
      <c r="C29" t="str">
        <f t="shared" si="5"/>
        <v>4</v>
      </c>
      <c r="D29">
        <v>38</v>
      </c>
      <c r="E29" t="str">
        <f>"338"</f>
        <v>338</v>
      </c>
      <c r="F29" t="str">
        <f t="shared" si="1"/>
        <v>0000</v>
      </c>
    </row>
    <row r="30" spans="1:6">
      <c r="A30" t="str">
        <f>"T765-1"</f>
        <v>T765-1</v>
      </c>
      <c r="B30" t="str">
        <f t="shared" ref="B30:B40" si="6">"VIA PORTA DEGLI ANGELI VICINO AL 4-"</f>
        <v>VIA PORTA DEGLI ANGELI VICINO AL 4-</v>
      </c>
      <c r="C30" t="str">
        <f t="shared" si="5"/>
        <v>4</v>
      </c>
      <c r="D30">
        <v>38</v>
      </c>
      <c r="E30" t="str">
        <f>"344"</f>
        <v>344</v>
      </c>
      <c r="F30" t="str">
        <f t="shared" si="1"/>
        <v>0000</v>
      </c>
    </row>
    <row r="31" spans="1:6">
      <c r="A31" t="str">
        <f>"T765-2"</f>
        <v>T765-2</v>
      </c>
      <c r="B31" t="str">
        <f t="shared" si="6"/>
        <v>VIA PORTA DEGLI ANGELI VICINO AL 4-</v>
      </c>
      <c r="C31" t="str">
        <f t="shared" si="5"/>
        <v>4</v>
      </c>
      <c r="D31">
        <v>38</v>
      </c>
      <c r="E31" t="str">
        <f>"345"</f>
        <v>345</v>
      </c>
      <c r="F31" t="str">
        <f t="shared" si="1"/>
        <v>0000</v>
      </c>
    </row>
    <row r="32" spans="1:6">
      <c r="A32" t="str">
        <f>"T765-3"</f>
        <v>T765-3</v>
      </c>
      <c r="B32" t="str">
        <f t="shared" si="6"/>
        <v>VIA PORTA DEGLI ANGELI VICINO AL 4-</v>
      </c>
      <c r="C32" t="str">
        <f t="shared" si="5"/>
        <v>4</v>
      </c>
      <c r="D32">
        <v>38</v>
      </c>
      <c r="E32" t="str">
        <f>"871"</f>
        <v>871</v>
      </c>
      <c r="F32" t="str">
        <f t="shared" si="1"/>
        <v>0000</v>
      </c>
    </row>
    <row r="33" spans="1:6">
      <c r="A33" t="str">
        <f>"T765-4"</f>
        <v>T765-4</v>
      </c>
      <c r="B33" t="str">
        <f t="shared" si="6"/>
        <v>VIA PORTA DEGLI ANGELI VICINO AL 4-</v>
      </c>
      <c r="C33" t="str">
        <f t="shared" si="5"/>
        <v>4</v>
      </c>
      <c r="D33">
        <v>38</v>
      </c>
      <c r="E33" t="str">
        <f>"872"</f>
        <v>872</v>
      </c>
      <c r="F33" t="str">
        <f t="shared" si="1"/>
        <v>0000</v>
      </c>
    </row>
    <row r="34" spans="1:6">
      <c r="A34" t="str">
        <f>"T765-5"</f>
        <v>T765-5</v>
      </c>
      <c r="B34" t="str">
        <f t="shared" si="6"/>
        <v>VIA PORTA DEGLI ANGELI VICINO AL 4-</v>
      </c>
      <c r="C34" t="str">
        <f t="shared" si="5"/>
        <v>4</v>
      </c>
      <c r="D34">
        <v>38</v>
      </c>
      <c r="E34" t="str">
        <f>"350"</f>
        <v>350</v>
      </c>
      <c r="F34" t="str">
        <f t="shared" si="1"/>
        <v>0000</v>
      </c>
    </row>
    <row r="35" spans="1:6">
      <c r="A35" t="str">
        <f>"T770-1"</f>
        <v>T770-1</v>
      </c>
      <c r="B35" t="str">
        <f t="shared" si="6"/>
        <v>VIA PORTA DEGLI ANGELI VICINO AL 4-</v>
      </c>
      <c r="C35" t="str">
        <f t="shared" si="5"/>
        <v>4</v>
      </c>
      <c r="D35">
        <v>38</v>
      </c>
      <c r="E35" t="str">
        <f>"229"</f>
        <v>229</v>
      </c>
      <c r="F35" t="str">
        <f t="shared" si="1"/>
        <v>0000</v>
      </c>
    </row>
    <row r="36" spans="1:6">
      <c r="A36" t="str">
        <f>"T770-2"</f>
        <v>T770-2</v>
      </c>
      <c r="B36" t="str">
        <f t="shared" si="6"/>
        <v>VIA PORTA DEGLI ANGELI VICINO AL 4-</v>
      </c>
      <c r="C36" t="str">
        <f t="shared" si="5"/>
        <v>4</v>
      </c>
      <c r="D36">
        <v>38</v>
      </c>
      <c r="E36" t="str">
        <f>"346"</f>
        <v>346</v>
      </c>
      <c r="F36" t="str">
        <f t="shared" si="1"/>
        <v>0000</v>
      </c>
    </row>
    <row r="37" spans="1:6">
      <c r="A37" t="str">
        <f>"T770-3"</f>
        <v>T770-3</v>
      </c>
      <c r="B37" t="str">
        <f t="shared" si="6"/>
        <v>VIA PORTA DEGLI ANGELI VICINO AL 4-</v>
      </c>
      <c r="C37" t="str">
        <f t="shared" si="5"/>
        <v>4</v>
      </c>
      <c r="D37">
        <v>38</v>
      </c>
      <c r="E37" t="str">
        <f>"482"</f>
        <v>482</v>
      </c>
      <c r="F37" t="str">
        <f t="shared" si="1"/>
        <v>0000</v>
      </c>
    </row>
    <row r="38" spans="1:6">
      <c r="A38" t="str">
        <f>"T770-8"</f>
        <v>T770-8</v>
      </c>
      <c r="B38" t="str">
        <f t="shared" si="6"/>
        <v>VIA PORTA DEGLI ANGELI VICINO AL 4-</v>
      </c>
      <c r="C38" t="str">
        <f t="shared" si="5"/>
        <v>4</v>
      </c>
      <c r="D38">
        <v>38</v>
      </c>
      <c r="E38" t="str">
        <f>"D"</f>
        <v>D</v>
      </c>
      <c r="F38" t="str">
        <f t="shared" si="1"/>
        <v>0000</v>
      </c>
    </row>
    <row r="39" spans="1:6">
      <c r="A39" t="str">
        <f>"T770-9"</f>
        <v>T770-9</v>
      </c>
      <c r="B39" t="str">
        <f t="shared" si="6"/>
        <v>VIA PORTA DEGLI ANGELI VICINO AL 4-</v>
      </c>
      <c r="C39" t="str">
        <f t="shared" si="5"/>
        <v>4</v>
      </c>
      <c r="D39">
        <v>38</v>
      </c>
      <c r="E39" t="str">
        <f>"472"</f>
        <v>472</v>
      </c>
      <c r="F39" t="str">
        <f t="shared" si="1"/>
        <v>0000</v>
      </c>
    </row>
    <row r="40" spans="1:6">
      <c r="A40" t="str">
        <f>"T770-10"</f>
        <v>T770-10</v>
      </c>
      <c r="B40" t="str">
        <f t="shared" si="6"/>
        <v>VIA PORTA DEGLI ANGELI VICINO AL 4-</v>
      </c>
      <c r="C40" t="str">
        <f t="shared" si="5"/>
        <v>4</v>
      </c>
      <c r="D40">
        <v>38</v>
      </c>
      <c r="E40" t="str">
        <f>"407"</f>
        <v>407</v>
      </c>
      <c r="F40" t="str">
        <f t="shared" si="1"/>
        <v>0000</v>
      </c>
    </row>
    <row r="41" spans="1:6">
      <c r="A41" t="str">
        <f>"T775-1"</f>
        <v>T775-1</v>
      </c>
      <c r="B41" t="str">
        <f>"VIA DEI LANDI VICINO AL 19-"</f>
        <v>VIA DEI LANDI VICINO AL 19-</v>
      </c>
      <c r="C41" t="str">
        <f t="shared" si="5"/>
        <v>4</v>
      </c>
      <c r="D41">
        <v>39</v>
      </c>
      <c r="E41" t="str">
        <f>"440"</f>
        <v>440</v>
      </c>
      <c r="F41" t="str">
        <f t="shared" si="1"/>
        <v>0000</v>
      </c>
    </row>
    <row r="42" spans="1:6">
      <c r="A42" t="str">
        <f>"T775-2"</f>
        <v>T775-2</v>
      </c>
      <c r="B42" t="str">
        <f>"VIA DEI LANDI VICINO AL 19-"</f>
        <v>VIA DEI LANDI VICINO AL 19-</v>
      </c>
      <c r="C42" t="str">
        <f t="shared" si="5"/>
        <v>4</v>
      </c>
      <c r="D42">
        <v>39</v>
      </c>
      <c r="E42" t="str">
        <f>"499"</f>
        <v>499</v>
      </c>
      <c r="F42" t="str">
        <f t="shared" si="1"/>
        <v>0000</v>
      </c>
    </row>
    <row r="43" spans="1:6">
      <c r="A43" t="str">
        <f>"T775-3"</f>
        <v>T775-3</v>
      </c>
      <c r="B43" t="str">
        <f>"VIA DEI LANDI VICINO AL 19-"</f>
        <v>VIA DEI LANDI VICINO AL 19-</v>
      </c>
      <c r="C43" t="str">
        <f t="shared" si="5"/>
        <v>4</v>
      </c>
      <c r="D43">
        <v>39</v>
      </c>
      <c r="E43" t="str">
        <f>"433"</f>
        <v>433</v>
      </c>
      <c r="F43" t="str">
        <f t="shared" si="1"/>
        <v>0000</v>
      </c>
    </row>
    <row r="44" spans="1:6">
      <c r="A44" t="str">
        <f>"T776-1"</f>
        <v>T776-1</v>
      </c>
      <c r="B44" t="str">
        <f>"CORSO ONOFRIO SCASSI VICINO AL 1-"</f>
        <v>CORSO ONOFRIO SCASSI VICINO AL 1-</v>
      </c>
      <c r="C44" t="str">
        <f t="shared" si="5"/>
        <v>4</v>
      </c>
      <c r="D44">
        <v>40</v>
      </c>
      <c r="E44" t="str">
        <f>"120"</f>
        <v>120</v>
      </c>
      <c r="F44" t="str">
        <f t="shared" si="1"/>
        <v>0000</v>
      </c>
    </row>
    <row r="45" spans="1:6">
      <c r="A45" t="str">
        <f>"T776-2"</f>
        <v>T776-2</v>
      </c>
      <c r="B45" t="str">
        <f>"CORSO ONOFRIO SCASSI VICINO AL 1-"</f>
        <v>CORSO ONOFRIO SCASSI VICINO AL 1-</v>
      </c>
      <c r="C45" t="str">
        <f t="shared" si="5"/>
        <v>4</v>
      </c>
      <c r="D45">
        <v>40</v>
      </c>
      <c r="E45" t="str">
        <f>"789"</f>
        <v>789</v>
      </c>
      <c r="F45" t="str">
        <f>"0"</f>
        <v>0</v>
      </c>
    </row>
    <row r="46" spans="1:6">
      <c r="A46" t="str">
        <f>"T776-4"</f>
        <v>T776-4</v>
      </c>
      <c r="B46" t="str">
        <f>"CORSO ONOFRIO SCASSI VICINO AL 1-"</f>
        <v>CORSO ONOFRIO SCASSI VICINO AL 1-</v>
      </c>
      <c r="C46" t="str">
        <f t="shared" si="5"/>
        <v>4</v>
      </c>
      <c r="D46">
        <v>40</v>
      </c>
      <c r="E46" t="str">
        <f>"792"</f>
        <v>792</v>
      </c>
      <c r="F46" t="str">
        <f t="shared" ref="F46:F59" si="7">"0000"</f>
        <v>0000</v>
      </c>
    </row>
    <row r="47" spans="1:6">
      <c r="A47" t="str">
        <f>"T783-1"</f>
        <v>T783-1</v>
      </c>
      <c r="B47" t="str">
        <f>"VIA SAN PIER D ARENA  219R-"</f>
        <v>VIA SAN PIER D ARENA  219R-</v>
      </c>
      <c r="C47" t="str">
        <f t="shared" si="5"/>
        <v>4</v>
      </c>
      <c r="D47">
        <v>45</v>
      </c>
      <c r="E47" t="str">
        <f>"453"</f>
        <v>453</v>
      </c>
      <c r="F47" t="str">
        <f t="shared" si="7"/>
        <v>0000</v>
      </c>
    </row>
    <row r="48" spans="1:6">
      <c r="A48" t="str">
        <f>"T783-2"</f>
        <v>T783-2</v>
      </c>
      <c r="B48" t="str">
        <f>"VIA SAN PIER D ARENA  219R-"</f>
        <v>VIA SAN PIER D ARENA  219R-</v>
      </c>
      <c r="C48" t="str">
        <f t="shared" si="5"/>
        <v>4</v>
      </c>
      <c r="D48">
        <v>45</v>
      </c>
      <c r="E48" t="str">
        <f>"456"</f>
        <v>456</v>
      </c>
      <c r="F48" t="str">
        <f t="shared" si="7"/>
        <v>0000</v>
      </c>
    </row>
    <row r="49" spans="1:6">
      <c r="A49" t="str">
        <f>"T784-1"</f>
        <v>T784-1</v>
      </c>
      <c r="B49" t="str">
        <f>"SALITA VITTORIO BERSEZIO VICINO AL 43-"</f>
        <v>SALITA VITTORIO BERSEZIO VICINO AL 43-</v>
      </c>
      <c r="C49" t="str">
        <f t="shared" si="5"/>
        <v>4</v>
      </c>
      <c r="D49">
        <v>38</v>
      </c>
      <c r="E49" t="str">
        <f>"310"</f>
        <v>310</v>
      </c>
      <c r="F49" t="str">
        <f t="shared" si="7"/>
        <v>0000</v>
      </c>
    </row>
    <row r="50" spans="1:6">
      <c r="A50" t="str">
        <f>"T786-1"</f>
        <v>T786-1</v>
      </c>
      <c r="B50" t="str">
        <f>"VIA ANTONIO PELLEGRINI VICINO AL 19-"</f>
        <v>VIA ANTONIO PELLEGRINI VICINO AL 19-</v>
      </c>
      <c r="C50" t="str">
        <f t="shared" si="5"/>
        <v>4</v>
      </c>
      <c r="D50">
        <v>38</v>
      </c>
      <c r="E50" t="str">
        <f>"218"</f>
        <v>218</v>
      </c>
      <c r="F50" t="str">
        <f t="shared" si="7"/>
        <v>0000</v>
      </c>
    </row>
    <row r="51" spans="1:6">
      <c r="A51" t="str">
        <f>"T786-2"</f>
        <v>T786-2</v>
      </c>
      <c r="B51" t="str">
        <f>"VIA ANTONIO PELLEGRINI VICINO AL 19-"</f>
        <v>VIA ANTONIO PELLEGRINI VICINO AL 19-</v>
      </c>
      <c r="C51" t="str">
        <f t="shared" si="5"/>
        <v>4</v>
      </c>
      <c r="D51">
        <v>38</v>
      </c>
      <c r="E51" t="str">
        <f>"638"</f>
        <v>638</v>
      </c>
      <c r="F51" t="str">
        <f t="shared" si="7"/>
        <v>0000</v>
      </c>
    </row>
    <row r="52" spans="1:6">
      <c r="A52" t="str">
        <f>"T787-1"</f>
        <v>T787-1</v>
      </c>
      <c r="B52" t="str">
        <f>"VIA PAOLO RETI  8R-"</f>
        <v>VIA PAOLO RETI  8R-</v>
      </c>
      <c r="C52" t="str">
        <f t="shared" si="5"/>
        <v>4</v>
      </c>
      <c r="D52">
        <v>43</v>
      </c>
      <c r="E52" t="str">
        <f>"28"</f>
        <v>28</v>
      </c>
      <c r="F52" t="str">
        <f t="shared" si="7"/>
        <v>0000</v>
      </c>
    </row>
    <row r="53" spans="1:6">
      <c r="A53" t="str">
        <f>"T788-3"</f>
        <v>T788-3</v>
      </c>
      <c r="B53" t="str">
        <f>"SALITA G B MILLELIRE VICINO AL 7-"</f>
        <v>SALITA G B MILLELIRE VICINO AL 7-</v>
      </c>
      <c r="C53" t="str">
        <f t="shared" si="5"/>
        <v>4</v>
      </c>
      <c r="D53">
        <v>39</v>
      </c>
      <c r="E53" t="str">
        <f>"624"</f>
        <v>624</v>
      </c>
      <c r="F53" t="str">
        <f t="shared" si="7"/>
        <v>0000</v>
      </c>
    </row>
    <row r="54" spans="1:6">
      <c r="A54" t="str">
        <f>"T788-4"</f>
        <v>T788-4</v>
      </c>
      <c r="B54" t="str">
        <f>"SALITA G B MILLELIRE VICINO AL 7-"</f>
        <v>SALITA G B MILLELIRE VICINO AL 7-</v>
      </c>
      <c r="C54" t="str">
        <f t="shared" si="5"/>
        <v>4</v>
      </c>
      <c r="D54">
        <v>39</v>
      </c>
      <c r="E54" t="str">
        <f>"2097"</f>
        <v>2097</v>
      </c>
      <c r="F54" t="str">
        <f t="shared" si="7"/>
        <v>0000</v>
      </c>
    </row>
    <row r="55" spans="1:6">
      <c r="A55" t="str">
        <f>"T789-1"</f>
        <v>T789-1</v>
      </c>
      <c r="B55" t="str">
        <f>"VIA ANTONIO PELLEGRINI VICINO AL 19-"</f>
        <v>VIA ANTONIO PELLEGRINI VICINO AL 19-</v>
      </c>
      <c r="C55" t="str">
        <f t="shared" si="5"/>
        <v>4</v>
      </c>
      <c r="D55">
        <v>38</v>
      </c>
      <c r="E55" t="str">
        <f>"636"</f>
        <v>636</v>
      </c>
      <c r="F55" t="str">
        <f t="shared" si="7"/>
        <v>0000</v>
      </c>
    </row>
    <row r="56" spans="1:6">
      <c r="A56" t="str">
        <f>"T794-1"</f>
        <v>T794-1</v>
      </c>
      <c r="B56" t="str">
        <f>"VIA PAOLO RETI VICINO AL 25-"</f>
        <v>VIA PAOLO RETI VICINO AL 25-</v>
      </c>
      <c r="C56" t="str">
        <f t="shared" si="5"/>
        <v>4</v>
      </c>
      <c r="D56">
        <v>43</v>
      </c>
      <c r="E56" t="str">
        <f>"100"</f>
        <v>100</v>
      </c>
      <c r="F56" t="str">
        <f t="shared" si="7"/>
        <v>0000</v>
      </c>
    </row>
    <row r="57" spans="1:6">
      <c r="A57" t="str">
        <f>"T812-1"</f>
        <v>T812-1</v>
      </c>
      <c r="B57" t="str">
        <f>"VIA ANTONIO CANTORE VICINO AL 50-"</f>
        <v>VIA ANTONIO CANTORE VICINO AL 50-</v>
      </c>
      <c r="C57" t="str">
        <f t="shared" si="5"/>
        <v>4</v>
      </c>
      <c r="D57">
        <v>45</v>
      </c>
      <c r="E57" t="str">
        <f>"11"</f>
        <v>11</v>
      </c>
      <c r="F57" t="str">
        <f t="shared" si="7"/>
        <v>0000</v>
      </c>
    </row>
    <row r="58" spans="1:6">
      <c r="A58" t="str">
        <f>"T813-1"</f>
        <v>T813-1</v>
      </c>
      <c r="B58" t="str">
        <f>"CORSO LUIGI A MARTINETTI VICINO AL 144-"</f>
        <v>CORSO LUIGI A MARTINETTI VICINO AL 144-</v>
      </c>
      <c r="C58" t="str">
        <f t="shared" si="5"/>
        <v>4</v>
      </c>
      <c r="D58">
        <v>38</v>
      </c>
      <c r="E58" t="str">
        <f>"316"</f>
        <v>316</v>
      </c>
      <c r="F58" t="str">
        <f t="shared" si="7"/>
        <v>0000</v>
      </c>
    </row>
    <row r="59" spans="1:6">
      <c r="A59" t="str">
        <f>"T814-1"</f>
        <v>T814-1</v>
      </c>
      <c r="B59" t="str">
        <f>"VIA PROMONTORIO VICINO AL 8-"</f>
        <v>VIA PROMONTORIO VICINO AL 8-</v>
      </c>
      <c r="C59" t="str">
        <f t="shared" si="5"/>
        <v>4</v>
      </c>
      <c r="D59">
        <v>38</v>
      </c>
      <c r="E59" t="str">
        <f>"99999"</f>
        <v>99999</v>
      </c>
      <c r="F59" t="str">
        <f t="shared" si="7"/>
        <v>0000</v>
      </c>
    </row>
    <row r="60" spans="1:6">
      <c r="A60" t="str">
        <f>"T851-1"</f>
        <v>T851-1</v>
      </c>
      <c r="B60" t="str">
        <f>"VIA CADUTI SENZA CROCE VICINO AL 12-"</f>
        <v>VIA CADUTI SENZA CROCE VICINO AL 12-</v>
      </c>
      <c r="C60" t="str">
        <f>"GEC"</f>
        <v>GEC</v>
      </c>
      <c r="D60">
        <v>4</v>
      </c>
      <c r="E60" t="str">
        <f>"1373"</f>
        <v>1373</v>
      </c>
      <c r="F60" t="str">
        <f>"2"</f>
        <v>2</v>
      </c>
    </row>
    <row r="61" spans="1:6">
      <c r="A61" t="str">
        <f>"T851-1"</f>
        <v>T851-1</v>
      </c>
      <c r="B61" t="str">
        <f>"VIA CADUTI SENZA CROCE VICINO AL 12-"</f>
        <v>VIA CADUTI SENZA CROCE VICINO AL 12-</v>
      </c>
      <c r="C61" t="str">
        <f>"1"</f>
        <v>1</v>
      </c>
      <c r="D61">
        <v>11</v>
      </c>
      <c r="E61" t="str">
        <f>"1373"</f>
        <v>1373</v>
      </c>
      <c r="F61" t="str">
        <f t="shared" ref="F61:F124" si="8">"0000"</f>
        <v>0000</v>
      </c>
    </row>
    <row r="62" spans="1:6">
      <c r="A62" t="str">
        <f>"T866-1"</f>
        <v>T866-1</v>
      </c>
      <c r="B62" t="str">
        <f>"VIA PORTA DEGLI ANGELI VICINO AL 4-"</f>
        <v>VIA PORTA DEGLI ANGELI VICINO AL 4-</v>
      </c>
      <c r="C62" t="str">
        <f t="shared" ref="C62:C69" si="9">"4"</f>
        <v>4</v>
      </c>
      <c r="D62">
        <v>38</v>
      </c>
      <c r="E62" t="str">
        <f>"229"</f>
        <v>229</v>
      </c>
      <c r="F62" t="str">
        <f t="shared" si="8"/>
        <v>0000</v>
      </c>
    </row>
    <row r="63" spans="1:6">
      <c r="A63" t="str">
        <f>"T866-2"</f>
        <v>T866-2</v>
      </c>
      <c r="B63" t="str">
        <f>"VIA PORTA DEGLI ANGELI VICINO AL 4-"</f>
        <v>VIA PORTA DEGLI ANGELI VICINO AL 4-</v>
      </c>
      <c r="C63" t="str">
        <f t="shared" si="9"/>
        <v>4</v>
      </c>
      <c r="D63">
        <v>38</v>
      </c>
      <c r="E63" t="str">
        <f>"346"</f>
        <v>346</v>
      </c>
      <c r="F63" t="str">
        <f t="shared" si="8"/>
        <v>0000</v>
      </c>
    </row>
    <row r="64" spans="1:6">
      <c r="A64" t="str">
        <f>"T868-1"</f>
        <v>T868-1</v>
      </c>
      <c r="B64" t="str">
        <f>"VIA PORTA DEGLI ANGELI VICINO AL 3-"</f>
        <v>VIA PORTA DEGLI ANGELI VICINO AL 3-</v>
      </c>
      <c r="C64" t="str">
        <f t="shared" si="9"/>
        <v>4</v>
      </c>
      <c r="D64">
        <v>38</v>
      </c>
      <c r="E64" t="str">
        <f>"229"</f>
        <v>229</v>
      </c>
      <c r="F64" t="str">
        <f t="shared" si="8"/>
        <v>0000</v>
      </c>
    </row>
    <row r="65" spans="1:6">
      <c r="A65" t="str">
        <f>"T868-2"</f>
        <v>T868-2</v>
      </c>
      <c r="B65" t="str">
        <f>"VIA PORTA DEGLI ANGELI VICINO AL 3-"</f>
        <v>VIA PORTA DEGLI ANGELI VICINO AL 3-</v>
      </c>
      <c r="C65" t="str">
        <f t="shared" si="9"/>
        <v>4</v>
      </c>
      <c r="D65">
        <v>38</v>
      </c>
      <c r="E65" t="str">
        <f>"873"</f>
        <v>873</v>
      </c>
      <c r="F65" t="str">
        <f t="shared" si="8"/>
        <v>0000</v>
      </c>
    </row>
    <row r="66" spans="1:6">
      <c r="A66" t="str">
        <f>"T868-3"</f>
        <v>T868-3</v>
      </c>
      <c r="B66" t="str">
        <f>"VIA PORTA DEGLI ANGELI VICINO AL 3-"</f>
        <v>VIA PORTA DEGLI ANGELI VICINO AL 3-</v>
      </c>
      <c r="C66" t="str">
        <f t="shared" si="9"/>
        <v>4</v>
      </c>
      <c r="D66">
        <v>38</v>
      </c>
      <c r="E66" t="str">
        <f>"874"</f>
        <v>874</v>
      </c>
      <c r="F66" t="str">
        <f t="shared" si="8"/>
        <v>0000</v>
      </c>
    </row>
    <row r="67" spans="1:6">
      <c r="A67" t="str">
        <f>"T868-4"</f>
        <v>T868-4</v>
      </c>
      <c r="B67" t="str">
        <f>"VIA PORTA DEGLI ANGELI VICINO AL 3-"</f>
        <v>VIA PORTA DEGLI ANGELI VICINO AL 3-</v>
      </c>
      <c r="C67" t="str">
        <f t="shared" si="9"/>
        <v>4</v>
      </c>
      <c r="D67">
        <v>38</v>
      </c>
      <c r="E67" t="str">
        <f>"875"</f>
        <v>875</v>
      </c>
      <c r="F67" t="str">
        <f t="shared" si="8"/>
        <v>0000</v>
      </c>
    </row>
    <row r="68" spans="1:6">
      <c r="A68" t="str">
        <f>"T868-5"</f>
        <v>T868-5</v>
      </c>
      <c r="B68" t="str">
        <f>"VIA PORTA DEGLI ANGELI VICINO AL 3-"</f>
        <v>VIA PORTA DEGLI ANGELI VICINO AL 3-</v>
      </c>
      <c r="C68" t="str">
        <f t="shared" si="9"/>
        <v>4</v>
      </c>
      <c r="D68">
        <v>38</v>
      </c>
      <c r="E68" t="str">
        <f>"876"</f>
        <v>876</v>
      </c>
      <c r="F68" t="str">
        <f t="shared" si="8"/>
        <v>0000</v>
      </c>
    </row>
    <row r="69" spans="1:6">
      <c r="A69" t="str">
        <f>"T872-1"</f>
        <v>T872-1</v>
      </c>
      <c r="B69" t="str">
        <f>"VIA ROBERT BADEN POWELL VICINO AL 9-"</f>
        <v>VIA ROBERT BADEN POWELL VICINO AL 9-</v>
      </c>
      <c r="C69" t="str">
        <f t="shared" si="9"/>
        <v>4</v>
      </c>
      <c r="D69">
        <v>38</v>
      </c>
      <c r="E69" t="str">
        <f>"932"</f>
        <v>932</v>
      </c>
      <c r="F69" t="str">
        <f t="shared" si="8"/>
        <v>0000</v>
      </c>
    </row>
    <row r="70" spans="1:6">
      <c r="A70" t="str">
        <f>"T878-1"</f>
        <v>T878-1</v>
      </c>
      <c r="B70" t="str">
        <f>"VIA MILANO VICINO AL 63-"</f>
        <v>VIA MILANO VICINO AL 63-</v>
      </c>
      <c r="C70" t="str">
        <f t="shared" ref="C70:C101" si="10">"1"</f>
        <v>1</v>
      </c>
      <c r="D70">
        <v>60</v>
      </c>
      <c r="E70" t="str">
        <f>"394"</f>
        <v>394</v>
      </c>
      <c r="F70" t="str">
        <f t="shared" si="8"/>
        <v>0000</v>
      </c>
    </row>
    <row r="71" spans="1:6">
      <c r="A71" t="str">
        <f>"T880-1"</f>
        <v>T880-1</v>
      </c>
      <c r="B71" t="str">
        <f>"VIA VENEZIA VICINO AL 3-"</f>
        <v>VIA VENEZIA VICINO AL 3-</v>
      </c>
      <c r="C71" t="str">
        <f t="shared" si="10"/>
        <v>1</v>
      </c>
      <c r="D71">
        <v>30</v>
      </c>
      <c r="E71" t="str">
        <f>"292"</f>
        <v>292</v>
      </c>
      <c r="F71" t="str">
        <f t="shared" si="8"/>
        <v>0000</v>
      </c>
    </row>
    <row r="72" spans="1:6">
      <c r="A72" t="str">
        <f>"T882-1"</f>
        <v>T882-1</v>
      </c>
      <c r="B72" t="str">
        <f t="shared" ref="B72:B77" si="11">"VIA FAENZA VICINO AL 3-"</f>
        <v>VIA FAENZA VICINO AL 3-</v>
      </c>
      <c r="C72" t="str">
        <f t="shared" si="10"/>
        <v>1</v>
      </c>
      <c r="D72">
        <v>30</v>
      </c>
      <c r="E72" t="str">
        <f>"340"</f>
        <v>340</v>
      </c>
      <c r="F72" t="str">
        <f t="shared" si="8"/>
        <v>0000</v>
      </c>
    </row>
    <row r="73" spans="1:6">
      <c r="A73" t="str">
        <f>"T882-2"</f>
        <v>T882-2</v>
      </c>
      <c r="B73" t="str">
        <f t="shared" si="11"/>
        <v>VIA FAENZA VICINO AL 3-</v>
      </c>
      <c r="C73" t="str">
        <f t="shared" si="10"/>
        <v>1</v>
      </c>
      <c r="D73">
        <v>30</v>
      </c>
      <c r="E73" t="str">
        <f>"1"</f>
        <v>1</v>
      </c>
      <c r="F73" t="str">
        <f t="shared" si="8"/>
        <v>0000</v>
      </c>
    </row>
    <row r="74" spans="1:6">
      <c r="A74" t="str">
        <f>"T882-3"</f>
        <v>T882-3</v>
      </c>
      <c r="B74" t="str">
        <f t="shared" si="11"/>
        <v>VIA FAENZA VICINO AL 3-</v>
      </c>
      <c r="C74" t="str">
        <f t="shared" si="10"/>
        <v>1</v>
      </c>
      <c r="D74">
        <v>30</v>
      </c>
      <c r="E74" t="str">
        <f>"2"</f>
        <v>2</v>
      </c>
      <c r="F74" t="str">
        <f t="shared" si="8"/>
        <v>0000</v>
      </c>
    </row>
    <row r="75" spans="1:6">
      <c r="A75" t="str">
        <f>"T882-4"</f>
        <v>T882-4</v>
      </c>
      <c r="B75" t="str">
        <f t="shared" si="11"/>
        <v>VIA FAENZA VICINO AL 3-</v>
      </c>
      <c r="C75" t="str">
        <f t="shared" si="10"/>
        <v>1</v>
      </c>
      <c r="D75">
        <v>28</v>
      </c>
      <c r="E75" t="str">
        <f>"30"</f>
        <v>30</v>
      </c>
      <c r="F75" t="str">
        <f t="shared" si="8"/>
        <v>0000</v>
      </c>
    </row>
    <row r="76" spans="1:6">
      <c r="A76" t="str">
        <f>"T882-5"</f>
        <v>T882-5</v>
      </c>
      <c r="B76" t="str">
        <f t="shared" si="11"/>
        <v>VIA FAENZA VICINO AL 3-</v>
      </c>
      <c r="C76" t="str">
        <f t="shared" si="10"/>
        <v>1</v>
      </c>
      <c r="D76">
        <v>28</v>
      </c>
      <c r="E76" t="str">
        <f>"69"</f>
        <v>69</v>
      </c>
      <c r="F76" t="str">
        <f t="shared" si="8"/>
        <v>0000</v>
      </c>
    </row>
    <row r="77" spans="1:6">
      <c r="A77" t="str">
        <f>"T882-6"</f>
        <v>T882-6</v>
      </c>
      <c r="B77" t="str">
        <f t="shared" si="11"/>
        <v>VIA FAENZA VICINO AL 3-</v>
      </c>
      <c r="C77" t="str">
        <f t="shared" si="10"/>
        <v>1</v>
      </c>
      <c r="D77">
        <v>28</v>
      </c>
      <c r="E77" t="str">
        <f>"99999"</f>
        <v>99999</v>
      </c>
      <c r="F77" t="str">
        <f t="shared" si="8"/>
        <v>0000</v>
      </c>
    </row>
    <row r="78" spans="1:6">
      <c r="A78" t="str">
        <f>"T884-1"</f>
        <v>T884-1</v>
      </c>
      <c r="B78" t="str">
        <f>"VIA DIGIONE VICINO AL 14-"</f>
        <v>VIA DIGIONE VICINO AL 14-</v>
      </c>
      <c r="C78" t="str">
        <f t="shared" si="10"/>
        <v>1</v>
      </c>
      <c r="D78">
        <v>28</v>
      </c>
      <c r="E78" t="str">
        <f>"705"</f>
        <v>705</v>
      </c>
      <c r="F78" t="str">
        <f t="shared" si="8"/>
        <v>0000</v>
      </c>
    </row>
    <row r="79" spans="1:6">
      <c r="A79" t="str">
        <f>"T884-2"</f>
        <v>T884-2</v>
      </c>
      <c r="B79" t="str">
        <f>"VIA DIGIONE VICINO AL 14-"</f>
        <v>VIA DIGIONE VICINO AL 14-</v>
      </c>
      <c r="C79" t="str">
        <f t="shared" si="10"/>
        <v>1</v>
      </c>
      <c r="D79">
        <v>28</v>
      </c>
      <c r="E79" t="str">
        <f>"704"</f>
        <v>704</v>
      </c>
      <c r="F79" t="str">
        <f t="shared" si="8"/>
        <v>0000</v>
      </c>
    </row>
    <row r="80" spans="1:6">
      <c r="A80" t="str">
        <f>"T884-3"</f>
        <v>T884-3</v>
      </c>
      <c r="B80" t="str">
        <f>"VIA DIGIONE VICINO AL 14-"</f>
        <v>VIA DIGIONE VICINO AL 14-</v>
      </c>
      <c r="C80" t="str">
        <f t="shared" si="10"/>
        <v>1</v>
      </c>
      <c r="D80">
        <v>28</v>
      </c>
      <c r="E80" t="str">
        <f>"703"</f>
        <v>703</v>
      </c>
      <c r="F80" t="str">
        <f t="shared" si="8"/>
        <v>0000</v>
      </c>
    </row>
    <row r="81" spans="1:6">
      <c r="A81" t="str">
        <f>"T897-1"</f>
        <v>T897-1</v>
      </c>
      <c r="B81" t="str">
        <f>"MURA DI GRANAROLO VICINO AL 11-"</f>
        <v>MURA DI GRANAROLO VICINO AL 11-</v>
      </c>
      <c r="C81" t="str">
        <f t="shared" si="10"/>
        <v>1</v>
      </c>
      <c r="D81">
        <v>11</v>
      </c>
      <c r="E81" t="str">
        <f>"329"</f>
        <v>329</v>
      </c>
      <c r="F81" t="str">
        <f t="shared" si="8"/>
        <v>0000</v>
      </c>
    </row>
    <row r="82" spans="1:6">
      <c r="A82" t="str">
        <f>"T897-2"</f>
        <v>T897-2</v>
      </c>
      <c r="B82" t="str">
        <f>"MURA DI GRANAROLO VICINO AL 11-"</f>
        <v>MURA DI GRANAROLO VICINO AL 11-</v>
      </c>
      <c r="C82" t="str">
        <f t="shared" si="10"/>
        <v>1</v>
      </c>
      <c r="D82">
        <v>11</v>
      </c>
      <c r="E82" t="str">
        <f>"430"</f>
        <v>430</v>
      </c>
      <c r="F82" t="str">
        <f t="shared" si="8"/>
        <v>0000</v>
      </c>
    </row>
    <row r="83" spans="1:6">
      <c r="A83" t="str">
        <f>"T897-3"</f>
        <v>T897-3</v>
      </c>
      <c r="B83" t="str">
        <f>"MURA DI GRANAROLO VICINO AL 11-"</f>
        <v>MURA DI GRANAROLO VICINO AL 11-</v>
      </c>
      <c r="C83" t="str">
        <f t="shared" si="10"/>
        <v>1</v>
      </c>
      <c r="D83">
        <v>11</v>
      </c>
      <c r="E83" t="str">
        <f>"434"</f>
        <v>434</v>
      </c>
      <c r="F83" t="str">
        <f t="shared" si="8"/>
        <v>0000</v>
      </c>
    </row>
    <row r="84" spans="1:6">
      <c r="A84" t="str">
        <f>"T898-1"</f>
        <v>T898-1</v>
      </c>
      <c r="B84" t="str">
        <f>"VIA SAN MARINO VICINO AL 219-"</f>
        <v>VIA SAN MARINO VICINO AL 219-</v>
      </c>
      <c r="C84" t="str">
        <f t="shared" si="10"/>
        <v>1</v>
      </c>
      <c r="D84">
        <v>11</v>
      </c>
      <c r="E84" t="str">
        <f>"52"</f>
        <v>52</v>
      </c>
      <c r="F84" t="str">
        <f t="shared" si="8"/>
        <v>0000</v>
      </c>
    </row>
    <row r="85" spans="1:6">
      <c r="A85" t="str">
        <f>"T899-1"</f>
        <v>T899-1</v>
      </c>
      <c r="B85" t="str">
        <f t="shared" ref="B85:B101" si="12">"VIA SAN MARINO VICINO AL 104-"</f>
        <v>VIA SAN MARINO VICINO AL 104-</v>
      </c>
      <c r="C85" t="str">
        <f t="shared" si="10"/>
        <v>1</v>
      </c>
      <c r="D85">
        <v>11</v>
      </c>
      <c r="E85" t="str">
        <f>"465"</f>
        <v>465</v>
      </c>
      <c r="F85" t="str">
        <f t="shared" si="8"/>
        <v>0000</v>
      </c>
    </row>
    <row r="86" spans="1:6">
      <c r="A86" t="str">
        <f>"T899-2"</f>
        <v>T899-2</v>
      </c>
      <c r="B86" t="str">
        <f t="shared" si="12"/>
        <v>VIA SAN MARINO VICINO AL 104-</v>
      </c>
      <c r="C86" t="str">
        <f t="shared" si="10"/>
        <v>1</v>
      </c>
      <c r="D86">
        <v>11</v>
      </c>
      <c r="E86" t="str">
        <f>"465"</f>
        <v>465</v>
      </c>
      <c r="F86" t="str">
        <f t="shared" si="8"/>
        <v>0000</v>
      </c>
    </row>
    <row r="87" spans="1:6">
      <c r="A87" t="str">
        <f>"T899-3"</f>
        <v>T899-3</v>
      </c>
      <c r="B87" t="str">
        <f t="shared" si="12"/>
        <v>VIA SAN MARINO VICINO AL 104-</v>
      </c>
      <c r="C87" t="str">
        <f t="shared" si="10"/>
        <v>1</v>
      </c>
      <c r="D87">
        <v>11</v>
      </c>
      <c r="E87" t="str">
        <f>"465"</f>
        <v>465</v>
      </c>
      <c r="F87" t="str">
        <f t="shared" si="8"/>
        <v>0000</v>
      </c>
    </row>
    <row r="88" spans="1:6">
      <c r="A88" t="str">
        <f>"T899-4"</f>
        <v>T899-4</v>
      </c>
      <c r="B88" t="str">
        <f t="shared" si="12"/>
        <v>VIA SAN MARINO VICINO AL 104-</v>
      </c>
      <c r="C88" t="str">
        <f t="shared" si="10"/>
        <v>1</v>
      </c>
      <c r="D88">
        <v>11</v>
      </c>
      <c r="E88" t="str">
        <f>"659"</f>
        <v>659</v>
      </c>
      <c r="F88" t="str">
        <f t="shared" si="8"/>
        <v>0000</v>
      </c>
    </row>
    <row r="89" spans="1:6">
      <c r="A89" t="str">
        <f>"T899-5"</f>
        <v>T899-5</v>
      </c>
      <c r="B89" t="str">
        <f t="shared" si="12"/>
        <v>VIA SAN MARINO VICINO AL 104-</v>
      </c>
      <c r="C89" t="str">
        <f t="shared" si="10"/>
        <v>1</v>
      </c>
      <c r="D89">
        <v>11</v>
      </c>
      <c r="E89" t="str">
        <f>"659"</f>
        <v>659</v>
      </c>
      <c r="F89" t="str">
        <f t="shared" si="8"/>
        <v>0000</v>
      </c>
    </row>
    <row r="90" spans="1:6">
      <c r="A90" t="str">
        <f>"T899-6"</f>
        <v>T899-6</v>
      </c>
      <c r="B90" t="str">
        <f t="shared" si="12"/>
        <v>VIA SAN MARINO VICINO AL 104-</v>
      </c>
      <c r="C90" t="str">
        <f t="shared" si="10"/>
        <v>1</v>
      </c>
      <c r="D90">
        <v>11</v>
      </c>
      <c r="E90" t="str">
        <f>"659"</f>
        <v>659</v>
      </c>
      <c r="F90" t="str">
        <f t="shared" si="8"/>
        <v>0000</v>
      </c>
    </row>
    <row r="91" spans="1:6">
      <c r="A91" t="str">
        <f>"T899-7"</f>
        <v>T899-7</v>
      </c>
      <c r="B91" t="str">
        <f t="shared" si="12"/>
        <v>VIA SAN MARINO VICINO AL 104-</v>
      </c>
      <c r="C91" t="str">
        <f t="shared" si="10"/>
        <v>1</v>
      </c>
      <c r="D91">
        <v>11</v>
      </c>
      <c r="E91" t="str">
        <f>"659"</f>
        <v>659</v>
      </c>
      <c r="F91" t="str">
        <f t="shared" si="8"/>
        <v>0000</v>
      </c>
    </row>
    <row r="92" spans="1:6">
      <c r="A92" t="str">
        <f>"T899-8"</f>
        <v>T899-8</v>
      </c>
      <c r="B92" t="str">
        <f t="shared" si="12"/>
        <v>VIA SAN MARINO VICINO AL 104-</v>
      </c>
      <c r="C92" t="str">
        <f t="shared" si="10"/>
        <v>1</v>
      </c>
      <c r="D92">
        <v>11</v>
      </c>
      <c r="E92" t="str">
        <f>"675"</f>
        <v>675</v>
      </c>
      <c r="F92" t="str">
        <f t="shared" si="8"/>
        <v>0000</v>
      </c>
    </row>
    <row r="93" spans="1:6">
      <c r="A93" t="str">
        <f>"T899-9"</f>
        <v>T899-9</v>
      </c>
      <c r="B93" t="str">
        <f t="shared" si="12"/>
        <v>VIA SAN MARINO VICINO AL 104-</v>
      </c>
      <c r="C93" t="str">
        <f t="shared" si="10"/>
        <v>1</v>
      </c>
      <c r="D93">
        <v>11</v>
      </c>
      <c r="E93" t="str">
        <f>"669"</f>
        <v>669</v>
      </c>
      <c r="F93" t="str">
        <f t="shared" si="8"/>
        <v>0000</v>
      </c>
    </row>
    <row r="94" spans="1:6">
      <c r="A94" t="str">
        <f>"T899-10"</f>
        <v>T899-10</v>
      </c>
      <c r="B94" t="str">
        <f t="shared" si="12"/>
        <v>VIA SAN MARINO VICINO AL 104-</v>
      </c>
      <c r="C94" t="str">
        <f t="shared" si="10"/>
        <v>1</v>
      </c>
      <c r="D94">
        <v>11</v>
      </c>
      <c r="E94" t="str">
        <f>"207"</f>
        <v>207</v>
      </c>
      <c r="F94" t="str">
        <f t="shared" si="8"/>
        <v>0000</v>
      </c>
    </row>
    <row r="95" spans="1:6">
      <c r="A95" t="str">
        <f>"T899-11"</f>
        <v>T899-11</v>
      </c>
      <c r="B95" t="str">
        <f t="shared" si="12"/>
        <v>VIA SAN MARINO VICINO AL 104-</v>
      </c>
      <c r="C95" t="str">
        <f t="shared" si="10"/>
        <v>1</v>
      </c>
      <c r="D95">
        <v>11</v>
      </c>
      <c r="E95" t="str">
        <f>"386"</f>
        <v>386</v>
      </c>
      <c r="F95" t="str">
        <f t="shared" si="8"/>
        <v>0000</v>
      </c>
    </row>
    <row r="96" spans="1:6">
      <c r="A96" t="str">
        <f>"T899-12"</f>
        <v>T899-12</v>
      </c>
      <c r="B96" t="str">
        <f t="shared" si="12"/>
        <v>VIA SAN MARINO VICINO AL 104-</v>
      </c>
      <c r="C96" t="str">
        <f t="shared" si="10"/>
        <v>1</v>
      </c>
      <c r="D96">
        <v>11</v>
      </c>
      <c r="E96" t="str">
        <f>"1085"</f>
        <v>1085</v>
      </c>
      <c r="F96" t="str">
        <f t="shared" si="8"/>
        <v>0000</v>
      </c>
    </row>
    <row r="97" spans="1:6">
      <c r="A97" t="str">
        <f>"T899-13"</f>
        <v>T899-13</v>
      </c>
      <c r="B97" t="str">
        <f t="shared" si="12"/>
        <v>VIA SAN MARINO VICINO AL 104-</v>
      </c>
      <c r="C97" t="str">
        <f t="shared" si="10"/>
        <v>1</v>
      </c>
      <c r="D97">
        <v>11</v>
      </c>
      <c r="E97" t="str">
        <f>"1085"</f>
        <v>1085</v>
      </c>
      <c r="F97" t="str">
        <f t="shared" si="8"/>
        <v>0000</v>
      </c>
    </row>
    <row r="98" spans="1:6">
      <c r="A98" t="str">
        <f>"T899-14"</f>
        <v>T899-14</v>
      </c>
      <c r="B98" t="str">
        <f t="shared" si="12"/>
        <v>VIA SAN MARINO VICINO AL 104-</v>
      </c>
      <c r="C98" t="str">
        <f t="shared" si="10"/>
        <v>1</v>
      </c>
      <c r="D98">
        <v>11</v>
      </c>
      <c r="E98" t="str">
        <f>"1085"</f>
        <v>1085</v>
      </c>
      <c r="F98" t="str">
        <f t="shared" si="8"/>
        <v>0000</v>
      </c>
    </row>
    <row r="99" spans="1:6">
      <c r="A99" t="str">
        <f>"T899-17"</f>
        <v>T899-17</v>
      </c>
      <c r="B99" t="str">
        <f t="shared" si="12"/>
        <v>VIA SAN MARINO VICINO AL 104-</v>
      </c>
      <c r="C99" t="str">
        <f t="shared" si="10"/>
        <v>1</v>
      </c>
      <c r="D99">
        <v>29</v>
      </c>
      <c r="E99" t="str">
        <f>"813"</f>
        <v>813</v>
      </c>
      <c r="F99" t="str">
        <f t="shared" si="8"/>
        <v>0000</v>
      </c>
    </row>
    <row r="100" spans="1:6">
      <c r="A100" t="str">
        <f>"T899-18"</f>
        <v>T899-18</v>
      </c>
      <c r="B100" t="str">
        <f t="shared" si="12"/>
        <v>VIA SAN MARINO VICINO AL 104-</v>
      </c>
      <c r="C100" t="str">
        <f t="shared" si="10"/>
        <v>1</v>
      </c>
      <c r="D100">
        <v>29</v>
      </c>
      <c r="E100" t="str">
        <f>"809"</f>
        <v>809</v>
      </c>
      <c r="F100" t="str">
        <f t="shared" si="8"/>
        <v>0000</v>
      </c>
    </row>
    <row r="101" spans="1:6">
      <c r="A101" t="str">
        <f>"T899-20"</f>
        <v>T899-20</v>
      </c>
      <c r="B101" t="str">
        <f t="shared" si="12"/>
        <v>VIA SAN MARINO VICINO AL 104-</v>
      </c>
      <c r="C101" t="str">
        <f t="shared" si="10"/>
        <v>1</v>
      </c>
      <c r="D101">
        <v>29</v>
      </c>
      <c r="E101" t="str">
        <f>"811"</f>
        <v>811</v>
      </c>
      <c r="F101" t="str">
        <f t="shared" si="8"/>
        <v>0000</v>
      </c>
    </row>
    <row r="102" spans="1:6">
      <c r="A102" t="str">
        <f>"T903-1"</f>
        <v>T903-1</v>
      </c>
      <c r="B102" t="str">
        <f t="shared" ref="B102:B109" si="13">"PIAZZALE I. PESTARINO VICINO AL 1-"</f>
        <v>PIAZZALE I. PESTARINO VICINO AL 1-</v>
      </c>
      <c r="C102" t="str">
        <f t="shared" ref="C102:C133" si="14">"1"</f>
        <v>1</v>
      </c>
      <c r="D102">
        <v>28</v>
      </c>
      <c r="E102" t="str">
        <f>"41"</f>
        <v>41</v>
      </c>
      <c r="F102" t="str">
        <f t="shared" si="8"/>
        <v>0000</v>
      </c>
    </row>
    <row r="103" spans="1:6">
      <c r="A103" t="str">
        <f>"T903-2"</f>
        <v>T903-2</v>
      </c>
      <c r="B103" t="str">
        <f t="shared" si="13"/>
        <v>PIAZZALE I. PESTARINO VICINO AL 1-</v>
      </c>
      <c r="C103" t="str">
        <f t="shared" si="14"/>
        <v>1</v>
      </c>
      <c r="D103">
        <v>28</v>
      </c>
      <c r="E103" t="str">
        <f>"47"</f>
        <v>47</v>
      </c>
      <c r="F103" t="str">
        <f t="shared" si="8"/>
        <v>0000</v>
      </c>
    </row>
    <row r="104" spans="1:6">
      <c r="A104" t="str">
        <f>"T903-3"</f>
        <v>T903-3</v>
      </c>
      <c r="B104" t="str">
        <f t="shared" si="13"/>
        <v>PIAZZALE I. PESTARINO VICINO AL 1-</v>
      </c>
      <c r="C104" t="str">
        <f t="shared" si="14"/>
        <v>1</v>
      </c>
      <c r="D104">
        <v>28</v>
      </c>
      <c r="E104" t="str">
        <f>"71"</f>
        <v>71</v>
      </c>
      <c r="F104" t="str">
        <f t="shared" si="8"/>
        <v>0000</v>
      </c>
    </row>
    <row r="105" spans="1:6">
      <c r="A105" t="str">
        <f>"T903-4"</f>
        <v>T903-4</v>
      </c>
      <c r="B105" t="str">
        <f t="shared" si="13"/>
        <v>PIAZZALE I. PESTARINO VICINO AL 1-</v>
      </c>
      <c r="C105" t="str">
        <f t="shared" si="14"/>
        <v>1</v>
      </c>
      <c r="D105">
        <v>28</v>
      </c>
      <c r="E105" t="str">
        <f>"72"</f>
        <v>72</v>
      </c>
      <c r="F105" t="str">
        <f t="shared" si="8"/>
        <v>0000</v>
      </c>
    </row>
    <row r="106" spans="1:6">
      <c r="A106" t="str">
        <f>"T903-5"</f>
        <v>T903-5</v>
      </c>
      <c r="B106" t="str">
        <f t="shared" si="13"/>
        <v>PIAZZALE I. PESTARINO VICINO AL 1-</v>
      </c>
      <c r="C106" t="str">
        <f t="shared" si="14"/>
        <v>1</v>
      </c>
      <c r="D106">
        <v>28</v>
      </c>
      <c r="E106" t="str">
        <f>"113"</f>
        <v>113</v>
      </c>
      <c r="F106" t="str">
        <f t="shared" si="8"/>
        <v>0000</v>
      </c>
    </row>
    <row r="107" spans="1:6">
      <c r="A107" t="str">
        <f>"T903-6"</f>
        <v>T903-6</v>
      </c>
      <c r="B107" t="str">
        <f t="shared" si="13"/>
        <v>PIAZZALE I. PESTARINO VICINO AL 1-</v>
      </c>
      <c r="C107" t="str">
        <f t="shared" si="14"/>
        <v>1</v>
      </c>
      <c r="D107">
        <v>28</v>
      </c>
      <c r="E107" t="str">
        <f>"562"</f>
        <v>562</v>
      </c>
      <c r="F107" t="str">
        <f t="shared" si="8"/>
        <v>0000</v>
      </c>
    </row>
    <row r="108" spans="1:6">
      <c r="A108" t="str">
        <f>"T903-7"</f>
        <v>T903-7</v>
      </c>
      <c r="B108" t="str">
        <f t="shared" si="13"/>
        <v>PIAZZALE I. PESTARINO VICINO AL 1-</v>
      </c>
      <c r="C108" t="str">
        <f t="shared" si="14"/>
        <v>1</v>
      </c>
      <c r="D108">
        <v>28</v>
      </c>
      <c r="E108" t="str">
        <f>"563"</f>
        <v>563</v>
      </c>
      <c r="F108" t="str">
        <f t="shared" si="8"/>
        <v>0000</v>
      </c>
    </row>
    <row r="109" spans="1:6">
      <c r="A109" t="str">
        <f>"T903-8"</f>
        <v>T903-8</v>
      </c>
      <c r="B109" t="str">
        <f t="shared" si="13"/>
        <v>PIAZZALE I. PESTARINO VICINO AL 1-</v>
      </c>
      <c r="C109" t="str">
        <f t="shared" si="14"/>
        <v>1</v>
      </c>
      <c r="D109">
        <v>28</v>
      </c>
      <c r="E109" t="str">
        <f>"99999"</f>
        <v>99999</v>
      </c>
      <c r="F109" t="str">
        <f t="shared" si="8"/>
        <v>0000</v>
      </c>
    </row>
    <row r="110" spans="1:6">
      <c r="A110" t="str">
        <f>"T904-1"</f>
        <v>T904-1</v>
      </c>
      <c r="B110" t="str">
        <f t="shared" ref="B110:B119" si="15">"VIA BOLOGNA VICINO AL 34-"</f>
        <v>VIA BOLOGNA VICINO AL 34-</v>
      </c>
      <c r="C110" t="str">
        <f t="shared" si="14"/>
        <v>1</v>
      </c>
      <c r="D110">
        <v>28</v>
      </c>
      <c r="E110" t="str">
        <f>"430"</f>
        <v>430</v>
      </c>
      <c r="F110" t="str">
        <f t="shared" si="8"/>
        <v>0000</v>
      </c>
    </row>
    <row r="111" spans="1:6">
      <c r="A111" t="str">
        <f>"T904-2"</f>
        <v>T904-2</v>
      </c>
      <c r="B111" t="str">
        <f t="shared" si="15"/>
        <v>VIA BOLOGNA VICINO AL 34-</v>
      </c>
      <c r="C111" t="str">
        <f t="shared" si="14"/>
        <v>1</v>
      </c>
      <c r="D111">
        <v>28</v>
      </c>
      <c r="E111" t="str">
        <f>"438"</f>
        <v>438</v>
      </c>
      <c r="F111" t="str">
        <f t="shared" si="8"/>
        <v>0000</v>
      </c>
    </row>
    <row r="112" spans="1:6">
      <c r="A112" t="str">
        <f>"T904-3"</f>
        <v>T904-3</v>
      </c>
      <c r="B112" t="str">
        <f t="shared" si="15"/>
        <v>VIA BOLOGNA VICINO AL 34-</v>
      </c>
      <c r="C112" t="str">
        <f t="shared" si="14"/>
        <v>1</v>
      </c>
      <c r="D112">
        <v>28</v>
      </c>
      <c r="E112" t="str">
        <f>"541"</f>
        <v>541</v>
      </c>
      <c r="F112" t="str">
        <f t="shared" si="8"/>
        <v>0000</v>
      </c>
    </row>
    <row r="113" spans="1:6">
      <c r="A113" t="str">
        <f>"T904-4"</f>
        <v>T904-4</v>
      </c>
      <c r="B113" t="str">
        <f t="shared" si="15"/>
        <v>VIA BOLOGNA VICINO AL 34-</v>
      </c>
      <c r="C113" t="str">
        <f t="shared" si="14"/>
        <v>1</v>
      </c>
      <c r="D113">
        <v>28</v>
      </c>
      <c r="E113" t="str">
        <f>"99999"</f>
        <v>99999</v>
      </c>
      <c r="F113" t="str">
        <f t="shared" si="8"/>
        <v>0000</v>
      </c>
    </row>
    <row r="114" spans="1:6">
      <c r="A114" t="str">
        <f>"T904-5"</f>
        <v>T904-5</v>
      </c>
      <c r="B114" t="str">
        <f t="shared" si="15"/>
        <v>VIA BOLOGNA VICINO AL 34-</v>
      </c>
      <c r="C114" t="str">
        <f t="shared" si="14"/>
        <v>1</v>
      </c>
      <c r="D114">
        <v>28</v>
      </c>
      <c r="E114" t="str">
        <f>"99999"</f>
        <v>99999</v>
      </c>
      <c r="F114" t="str">
        <f t="shared" si="8"/>
        <v>0000</v>
      </c>
    </row>
    <row r="115" spans="1:6">
      <c r="A115" t="str">
        <f>"T904-6"</f>
        <v>T904-6</v>
      </c>
      <c r="B115" t="str">
        <f t="shared" si="15"/>
        <v>VIA BOLOGNA VICINO AL 34-</v>
      </c>
      <c r="C115" t="str">
        <f t="shared" si="14"/>
        <v>1</v>
      </c>
      <c r="D115">
        <v>28</v>
      </c>
      <c r="E115" t="str">
        <f>"99999"</f>
        <v>99999</v>
      </c>
      <c r="F115" t="str">
        <f t="shared" si="8"/>
        <v>0000</v>
      </c>
    </row>
    <row r="116" spans="1:6">
      <c r="A116" t="str">
        <f>"T904-10"</f>
        <v>T904-10</v>
      </c>
      <c r="B116" t="str">
        <f t="shared" si="15"/>
        <v>VIA BOLOGNA VICINO AL 34-</v>
      </c>
      <c r="C116" t="str">
        <f t="shared" si="14"/>
        <v>1</v>
      </c>
      <c r="D116">
        <v>28</v>
      </c>
      <c r="E116" t="str">
        <f>"565"</f>
        <v>565</v>
      </c>
      <c r="F116" t="str">
        <f t="shared" si="8"/>
        <v>0000</v>
      </c>
    </row>
    <row r="117" spans="1:6">
      <c r="A117" t="str">
        <f>"T904-11"</f>
        <v>T904-11</v>
      </c>
      <c r="B117" t="str">
        <f t="shared" si="15"/>
        <v>VIA BOLOGNA VICINO AL 34-</v>
      </c>
      <c r="C117" t="str">
        <f t="shared" si="14"/>
        <v>1</v>
      </c>
      <c r="D117">
        <v>28</v>
      </c>
      <c r="E117" t="str">
        <f>"99999"</f>
        <v>99999</v>
      </c>
      <c r="F117" t="str">
        <f t="shared" si="8"/>
        <v>0000</v>
      </c>
    </row>
    <row r="118" spans="1:6">
      <c r="A118" t="str">
        <f>"T904-12"</f>
        <v>T904-12</v>
      </c>
      <c r="B118" t="str">
        <f t="shared" si="15"/>
        <v>VIA BOLOGNA VICINO AL 34-</v>
      </c>
      <c r="C118" t="str">
        <f t="shared" si="14"/>
        <v>1</v>
      </c>
      <c r="D118">
        <v>28</v>
      </c>
      <c r="E118" t="str">
        <f>"30"</f>
        <v>30</v>
      </c>
      <c r="F118" t="str">
        <f t="shared" si="8"/>
        <v>0000</v>
      </c>
    </row>
    <row r="119" spans="1:6">
      <c r="A119" t="str">
        <f>"T904-13"</f>
        <v>T904-13</v>
      </c>
      <c r="B119" t="str">
        <f t="shared" si="15"/>
        <v>VIA BOLOGNA VICINO AL 34-</v>
      </c>
      <c r="C119" t="str">
        <f t="shared" si="14"/>
        <v>1</v>
      </c>
      <c r="D119">
        <v>28</v>
      </c>
      <c r="E119" t="str">
        <f>"69"</f>
        <v>69</v>
      </c>
      <c r="F119" t="str">
        <f t="shared" si="8"/>
        <v>0000</v>
      </c>
    </row>
    <row r="120" spans="1:6">
      <c r="A120" t="str">
        <f>"T905-1"</f>
        <v>T905-1</v>
      </c>
      <c r="B120" t="str">
        <f t="shared" ref="B120:B125" si="16">"VIA BOLOGNA VICINO AL 14-"</f>
        <v>VIA BOLOGNA VICINO AL 14-</v>
      </c>
      <c r="C120" t="str">
        <f t="shared" si="14"/>
        <v>1</v>
      </c>
      <c r="D120">
        <v>28</v>
      </c>
      <c r="E120" t="str">
        <f>"42"</f>
        <v>42</v>
      </c>
      <c r="F120" t="str">
        <f t="shared" si="8"/>
        <v>0000</v>
      </c>
    </row>
    <row r="121" spans="1:6">
      <c r="A121" t="str">
        <f>"T905-2"</f>
        <v>T905-2</v>
      </c>
      <c r="B121" t="str">
        <f t="shared" si="16"/>
        <v>VIA BOLOGNA VICINO AL 14-</v>
      </c>
      <c r="C121" t="str">
        <f t="shared" si="14"/>
        <v>1</v>
      </c>
      <c r="D121">
        <v>28</v>
      </c>
      <c r="E121" t="str">
        <f>"99999"</f>
        <v>99999</v>
      </c>
      <c r="F121" t="str">
        <f t="shared" si="8"/>
        <v>0000</v>
      </c>
    </row>
    <row r="122" spans="1:6">
      <c r="A122" t="str">
        <f>"T905-3"</f>
        <v>T905-3</v>
      </c>
      <c r="B122" t="str">
        <f t="shared" si="16"/>
        <v>VIA BOLOGNA VICINO AL 14-</v>
      </c>
      <c r="C122" t="str">
        <f t="shared" si="14"/>
        <v>1</v>
      </c>
      <c r="D122">
        <v>28</v>
      </c>
      <c r="E122" t="str">
        <f>"565"</f>
        <v>565</v>
      </c>
      <c r="F122" t="str">
        <f t="shared" si="8"/>
        <v>0000</v>
      </c>
    </row>
    <row r="123" spans="1:6">
      <c r="A123" t="str">
        <f>"T905-4"</f>
        <v>T905-4</v>
      </c>
      <c r="B123" t="str">
        <f t="shared" si="16"/>
        <v>VIA BOLOGNA VICINO AL 14-</v>
      </c>
      <c r="C123" t="str">
        <f t="shared" si="14"/>
        <v>1</v>
      </c>
      <c r="D123">
        <v>28</v>
      </c>
      <c r="E123" t="str">
        <f>"1163"</f>
        <v>1163</v>
      </c>
      <c r="F123" t="str">
        <f t="shared" si="8"/>
        <v>0000</v>
      </c>
    </row>
    <row r="124" spans="1:6">
      <c r="A124" t="str">
        <f>"T905-5"</f>
        <v>T905-5</v>
      </c>
      <c r="B124" t="str">
        <f t="shared" si="16"/>
        <v>VIA BOLOGNA VICINO AL 14-</v>
      </c>
      <c r="C124" t="str">
        <f t="shared" si="14"/>
        <v>1</v>
      </c>
      <c r="D124">
        <v>28</v>
      </c>
      <c r="E124" t="str">
        <f>"99999"</f>
        <v>99999</v>
      </c>
      <c r="F124" t="str">
        <f t="shared" si="8"/>
        <v>0000</v>
      </c>
    </row>
    <row r="125" spans="1:6">
      <c r="A125" t="str">
        <f>"T905-6"</f>
        <v>T905-6</v>
      </c>
      <c r="B125" t="str">
        <f t="shared" si="16"/>
        <v>VIA BOLOGNA VICINO AL 14-</v>
      </c>
      <c r="C125" t="str">
        <f t="shared" si="14"/>
        <v>1</v>
      </c>
      <c r="D125">
        <v>28</v>
      </c>
      <c r="E125" t="str">
        <f>"47"</f>
        <v>47</v>
      </c>
      <c r="F125" t="str">
        <f t="shared" ref="F125:F188" si="17">"0000"</f>
        <v>0000</v>
      </c>
    </row>
    <row r="126" spans="1:6">
      <c r="A126" t="str">
        <f>"T906-1"</f>
        <v>T906-1</v>
      </c>
      <c r="B126" t="str">
        <f t="shared" ref="B126:B140" si="18">"VIA FAENZA VICINO AL 3-"</f>
        <v>VIA FAENZA VICINO AL 3-</v>
      </c>
      <c r="C126" t="str">
        <f t="shared" si="14"/>
        <v>1</v>
      </c>
      <c r="D126">
        <v>28</v>
      </c>
      <c r="E126" t="str">
        <f>"30"</f>
        <v>30</v>
      </c>
      <c r="F126" t="str">
        <f t="shared" si="17"/>
        <v>0000</v>
      </c>
    </row>
    <row r="127" spans="1:6">
      <c r="A127" t="str">
        <f>"T906-2"</f>
        <v>T906-2</v>
      </c>
      <c r="B127" t="str">
        <f t="shared" si="18"/>
        <v>VIA FAENZA VICINO AL 3-</v>
      </c>
      <c r="C127" t="str">
        <f t="shared" si="14"/>
        <v>1</v>
      </c>
      <c r="D127">
        <v>28</v>
      </c>
      <c r="E127" t="str">
        <f>"69"</f>
        <v>69</v>
      </c>
      <c r="F127" t="str">
        <f t="shared" si="17"/>
        <v>0000</v>
      </c>
    </row>
    <row r="128" spans="1:6">
      <c r="A128" t="str">
        <f>"T906-3"</f>
        <v>T906-3</v>
      </c>
      <c r="B128" t="str">
        <f t="shared" si="18"/>
        <v>VIA FAENZA VICINO AL 3-</v>
      </c>
      <c r="C128" t="str">
        <f t="shared" si="14"/>
        <v>1</v>
      </c>
      <c r="D128">
        <v>28</v>
      </c>
      <c r="E128" t="str">
        <f>"416"</f>
        <v>416</v>
      </c>
      <c r="F128" t="str">
        <f t="shared" si="17"/>
        <v>0000</v>
      </c>
    </row>
    <row r="129" spans="1:6">
      <c r="A129" t="str">
        <f>"T906-5"</f>
        <v>T906-5</v>
      </c>
      <c r="B129" t="str">
        <f t="shared" si="18"/>
        <v>VIA FAENZA VICINO AL 3-</v>
      </c>
      <c r="C129" t="str">
        <f t="shared" si="14"/>
        <v>1</v>
      </c>
      <c r="D129">
        <v>28</v>
      </c>
      <c r="E129" t="str">
        <f>"15"</f>
        <v>15</v>
      </c>
      <c r="F129" t="str">
        <f t="shared" si="17"/>
        <v>0000</v>
      </c>
    </row>
    <row r="130" spans="1:6">
      <c r="A130" t="str">
        <f>"T906-6"</f>
        <v>T906-6</v>
      </c>
      <c r="B130" t="str">
        <f t="shared" si="18"/>
        <v>VIA FAENZA VICINO AL 3-</v>
      </c>
      <c r="C130" t="str">
        <f t="shared" si="14"/>
        <v>1</v>
      </c>
      <c r="D130">
        <v>28</v>
      </c>
      <c r="E130" t="str">
        <f>"49"</f>
        <v>49</v>
      </c>
      <c r="F130" t="str">
        <f t="shared" si="17"/>
        <v>0000</v>
      </c>
    </row>
    <row r="131" spans="1:6">
      <c r="A131" t="str">
        <f>"T906-7"</f>
        <v>T906-7</v>
      </c>
      <c r="B131" t="str">
        <f t="shared" si="18"/>
        <v>VIA FAENZA VICINO AL 3-</v>
      </c>
      <c r="C131" t="str">
        <f t="shared" si="14"/>
        <v>1</v>
      </c>
      <c r="D131">
        <v>28</v>
      </c>
      <c r="E131" t="str">
        <f>"50"</f>
        <v>50</v>
      </c>
      <c r="F131" t="str">
        <f t="shared" si="17"/>
        <v>0000</v>
      </c>
    </row>
    <row r="132" spans="1:6">
      <c r="A132" t="str">
        <f>"T906-8"</f>
        <v>T906-8</v>
      </c>
      <c r="B132" t="str">
        <f t="shared" si="18"/>
        <v>VIA FAENZA VICINO AL 3-</v>
      </c>
      <c r="C132" t="str">
        <f t="shared" si="14"/>
        <v>1</v>
      </c>
      <c r="D132">
        <v>28</v>
      </c>
      <c r="E132" t="str">
        <f>"28"</f>
        <v>28</v>
      </c>
      <c r="F132" t="str">
        <f t="shared" si="17"/>
        <v>0000</v>
      </c>
    </row>
    <row r="133" spans="1:6">
      <c r="A133" t="str">
        <f>"T906-9"</f>
        <v>T906-9</v>
      </c>
      <c r="B133" t="str">
        <f t="shared" si="18"/>
        <v>VIA FAENZA VICINO AL 3-</v>
      </c>
      <c r="C133" t="str">
        <f t="shared" si="14"/>
        <v>1</v>
      </c>
      <c r="D133">
        <v>28</v>
      </c>
      <c r="E133" t="str">
        <f>"29"</f>
        <v>29</v>
      </c>
      <c r="F133" t="str">
        <f t="shared" si="17"/>
        <v>0000</v>
      </c>
    </row>
    <row r="134" spans="1:6">
      <c r="A134" t="str">
        <f>"T906-10"</f>
        <v>T906-10</v>
      </c>
      <c r="B134" t="str">
        <f t="shared" si="18"/>
        <v>VIA FAENZA VICINO AL 3-</v>
      </c>
      <c r="C134" t="str">
        <f t="shared" ref="C134:C165" si="19">"1"</f>
        <v>1</v>
      </c>
      <c r="D134">
        <v>28</v>
      </c>
      <c r="E134" t="str">
        <f>"1062"</f>
        <v>1062</v>
      </c>
      <c r="F134" t="str">
        <f t="shared" si="17"/>
        <v>0000</v>
      </c>
    </row>
    <row r="135" spans="1:6">
      <c r="A135" t="str">
        <f>"T906-11"</f>
        <v>T906-11</v>
      </c>
      <c r="B135" t="str">
        <f t="shared" si="18"/>
        <v>VIA FAENZA VICINO AL 3-</v>
      </c>
      <c r="C135" t="str">
        <f t="shared" si="19"/>
        <v>1</v>
      </c>
      <c r="D135">
        <v>28</v>
      </c>
      <c r="E135" t="str">
        <f>"99999"</f>
        <v>99999</v>
      </c>
      <c r="F135" t="str">
        <f t="shared" si="17"/>
        <v>0000</v>
      </c>
    </row>
    <row r="136" spans="1:6">
      <c r="A136" t="str">
        <f>"T906-12"</f>
        <v>T906-12</v>
      </c>
      <c r="B136" t="str">
        <f t="shared" si="18"/>
        <v>VIA FAENZA VICINO AL 3-</v>
      </c>
      <c r="C136" t="str">
        <f t="shared" si="19"/>
        <v>1</v>
      </c>
      <c r="D136">
        <v>28</v>
      </c>
      <c r="E136" t="str">
        <f>"420"</f>
        <v>420</v>
      </c>
      <c r="F136" t="str">
        <f t="shared" si="17"/>
        <v>0000</v>
      </c>
    </row>
    <row r="137" spans="1:6">
      <c r="A137" t="str">
        <f>"T906-13"</f>
        <v>T906-13</v>
      </c>
      <c r="B137" t="str">
        <f t="shared" si="18"/>
        <v>VIA FAENZA VICINO AL 3-</v>
      </c>
      <c r="C137" t="str">
        <f t="shared" si="19"/>
        <v>1</v>
      </c>
      <c r="D137">
        <v>28</v>
      </c>
      <c r="E137" t="str">
        <f>"568"</f>
        <v>568</v>
      </c>
      <c r="F137" t="str">
        <f t="shared" si="17"/>
        <v>0000</v>
      </c>
    </row>
    <row r="138" spans="1:6">
      <c r="A138" t="str">
        <f>"T906-13"</f>
        <v>T906-13</v>
      </c>
      <c r="B138" t="str">
        <f t="shared" si="18"/>
        <v>VIA FAENZA VICINO AL 3-</v>
      </c>
      <c r="C138" t="str">
        <f t="shared" si="19"/>
        <v>1</v>
      </c>
      <c r="D138">
        <v>28</v>
      </c>
      <c r="E138" t="str">
        <f>"1163"</f>
        <v>1163</v>
      </c>
      <c r="F138" t="str">
        <f t="shared" si="17"/>
        <v>0000</v>
      </c>
    </row>
    <row r="139" spans="1:6">
      <c r="A139" t="str">
        <f>"T906-14"</f>
        <v>T906-14</v>
      </c>
      <c r="B139" t="str">
        <f t="shared" si="18"/>
        <v>VIA FAENZA VICINO AL 3-</v>
      </c>
      <c r="C139" t="str">
        <f t="shared" si="19"/>
        <v>1</v>
      </c>
      <c r="D139">
        <v>28</v>
      </c>
      <c r="E139" t="str">
        <f>"703"</f>
        <v>703</v>
      </c>
      <c r="F139" t="str">
        <f t="shared" si="17"/>
        <v>0000</v>
      </c>
    </row>
    <row r="140" spans="1:6">
      <c r="A140" t="str">
        <f>"T906-15"</f>
        <v>T906-15</v>
      </c>
      <c r="B140" t="str">
        <f t="shared" si="18"/>
        <v>VIA FAENZA VICINO AL 3-</v>
      </c>
      <c r="C140" t="str">
        <f t="shared" si="19"/>
        <v>1</v>
      </c>
      <c r="D140">
        <v>28</v>
      </c>
      <c r="E140" t="str">
        <f>"42"</f>
        <v>42</v>
      </c>
      <c r="F140" t="str">
        <f t="shared" si="17"/>
        <v>0000</v>
      </c>
    </row>
    <row r="141" spans="1:6">
      <c r="A141" t="str">
        <f>"T907-1"</f>
        <v>T907-1</v>
      </c>
      <c r="B141" t="str">
        <f>"VIA BOLOGNA VICINO AL 56-"</f>
        <v>VIA BOLOGNA VICINO AL 56-</v>
      </c>
      <c r="C141" t="str">
        <f t="shared" si="19"/>
        <v>1</v>
      </c>
      <c r="D141">
        <v>28</v>
      </c>
      <c r="E141" t="str">
        <f>"48"</f>
        <v>48</v>
      </c>
      <c r="F141" t="str">
        <f t="shared" si="17"/>
        <v>0000</v>
      </c>
    </row>
    <row r="142" spans="1:6">
      <c r="A142" t="str">
        <f>"T909-1"</f>
        <v>T909-1</v>
      </c>
      <c r="B142" t="str">
        <f>"VIA BOLOGNA VICINO AL 14-"</f>
        <v>VIA BOLOGNA VICINO AL 14-</v>
      </c>
      <c r="C142" t="str">
        <f t="shared" si="19"/>
        <v>1</v>
      </c>
      <c r="D142">
        <v>28</v>
      </c>
      <c r="E142" t="str">
        <f>"99999"</f>
        <v>99999</v>
      </c>
      <c r="F142" t="str">
        <f t="shared" si="17"/>
        <v>0000</v>
      </c>
    </row>
    <row r="143" spans="1:6">
      <c r="A143" t="str">
        <f>"T909-2"</f>
        <v>T909-2</v>
      </c>
      <c r="B143" t="str">
        <f>"VIA BOLOGNA VICINO AL 14-"</f>
        <v>VIA BOLOGNA VICINO AL 14-</v>
      </c>
      <c r="C143" t="str">
        <f t="shared" si="19"/>
        <v>1</v>
      </c>
      <c r="D143">
        <v>28</v>
      </c>
      <c r="E143" t="str">
        <f>"69"</f>
        <v>69</v>
      </c>
      <c r="F143" t="str">
        <f t="shared" si="17"/>
        <v>0000</v>
      </c>
    </row>
    <row r="144" spans="1:6">
      <c r="A144" t="str">
        <f>"T915-1"</f>
        <v>T915-1</v>
      </c>
      <c r="B144" t="str">
        <f>"SALITA GESU E MARIA VICINO AL 1-"</f>
        <v>SALITA GESU E MARIA VICINO AL 1-</v>
      </c>
      <c r="C144" t="str">
        <f t="shared" si="19"/>
        <v>1</v>
      </c>
      <c r="D144">
        <v>29</v>
      </c>
      <c r="E144" t="str">
        <f>"129"</f>
        <v>129</v>
      </c>
      <c r="F144" t="str">
        <f t="shared" si="17"/>
        <v>0000</v>
      </c>
    </row>
    <row r="145" spans="1:6">
      <c r="A145" t="str">
        <f>"T915-2"</f>
        <v>T915-2</v>
      </c>
      <c r="B145" t="str">
        <f>"SALITA GESU E MARIA VICINO AL 1-"</f>
        <v>SALITA GESU E MARIA VICINO AL 1-</v>
      </c>
      <c r="C145" t="str">
        <f t="shared" si="19"/>
        <v>1</v>
      </c>
      <c r="D145">
        <v>29</v>
      </c>
      <c r="E145" t="str">
        <f>"386"</f>
        <v>386</v>
      </c>
      <c r="F145" t="str">
        <f t="shared" si="17"/>
        <v>0000</v>
      </c>
    </row>
    <row r="146" spans="1:6">
      <c r="A146" t="str">
        <f>"T916-1"</f>
        <v>T916-1</v>
      </c>
      <c r="B146" t="str">
        <f>"VIA BOLOGNA VICINO AL 35-"</f>
        <v>VIA BOLOGNA VICINO AL 35-</v>
      </c>
      <c r="C146" t="str">
        <f t="shared" si="19"/>
        <v>1</v>
      </c>
      <c r="D146">
        <v>29</v>
      </c>
      <c r="E146" t="str">
        <f>"343"</f>
        <v>343</v>
      </c>
      <c r="F146" t="str">
        <f t="shared" si="17"/>
        <v>0000</v>
      </c>
    </row>
    <row r="147" spans="1:6">
      <c r="A147" t="str">
        <f>"T925-1"</f>
        <v>T925-1</v>
      </c>
      <c r="B147" t="str">
        <f t="shared" ref="B147:B158" si="20">"VIA SAN MARINO VICINO AL 105-"</f>
        <v>VIA SAN MARINO VICINO AL 105-</v>
      </c>
      <c r="C147" t="str">
        <f t="shared" si="19"/>
        <v>1</v>
      </c>
      <c r="D147">
        <v>11</v>
      </c>
      <c r="E147" t="str">
        <f>"465"</f>
        <v>465</v>
      </c>
      <c r="F147" t="str">
        <f t="shared" si="17"/>
        <v>0000</v>
      </c>
    </row>
    <row r="148" spans="1:6">
      <c r="A148" t="str">
        <f>"T925-2"</f>
        <v>T925-2</v>
      </c>
      <c r="B148" t="str">
        <f t="shared" si="20"/>
        <v>VIA SAN MARINO VICINO AL 105-</v>
      </c>
      <c r="C148" t="str">
        <f t="shared" si="19"/>
        <v>1</v>
      </c>
      <c r="D148">
        <v>11</v>
      </c>
      <c r="E148" t="str">
        <f>"660"</f>
        <v>660</v>
      </c>
      <c r="F148" t="str">
        <f t="shared" si="17"/>
        <v>0000</v>
      </c>
    </row>
    <row r="149" spans="1:6">
      <c r="A149" t="str">
        <f>"T925-3"</f>
        <v>T925-3</v>
      </c>
      <c r="B149" t="str">
        <f t="shared" si="20"/>
        <v>VIA SAN MARINO VICINO AL 105-</v>
      </c>
      <c r="C149" t="str">
        <f t="shared" si="19"/>
        <v>1</v>
      </c>
      <c r="D149">
        <v>11</v>
      </c>
      <c r="E149" t="str">
        <f>"207"</f>
        <v>207</v>
      </c>
      <c r="F149" t="str">
        <f t="shared" si="17"/>
        <v>0000</v>
      </c>
    </row>
    <row r="150" spans="1:6">
      <c r="A150" t="str">
        <f>"T925-4"</f>
        <v>T925-4</v>
      </c>
      <c r="B150" t="str">
        <f t="shared" si="20"/>
        <v>VIA SAN MARINO VICINO AL 105-</v>
      </c>
      <c r="C150" t="str">
        <f t="shared" si="19"/>
        <v>1</v>
      </c>
      <c r="D150">
        <v>11</v>
      </c>
      <c r="E150" t="str">
        <f>"207"</f>
        <v>207</v>
      </c>
      <c r="F150" t="str">
        <f t="shared" si="17"/>
        <v>0000</v>
      </c>
    </row>
    <row r="151" spans="1:6">
      <c r="A151" t="str">
        <f>"T925-5"</f>
        <v>T925-5</v>
      </c>
      <c r="B151" t="str">
        <f t="shared" si="20"/>
        <v>VIA SAN MARINO VICINO AL 105-</v>
      </c>
      <c r="C151" t="str">
        <f t="shared" si="19"/>
        <v>1</v>
      </c>
      <c r="D151">
        <v>11</v>
      </c>
      <c r="E151" t="str">
        <f>"698"</f>
        <v>698</v>
      </c>
      <c r="F151" t="str">
        <f t="shared" si="17"/>
        <v>0000</v>
      </c>
    </row>
    <row r="152" spans="1:6">
      <c r="A152" t="str">
        <f>"T925-6"</f>
        <v>T925-6</v>
      </c>
      <c r="B152" t="str">
        <f t="shared" si="20"/>
        <v>VIA SAN MARINO VICINO AL 105-</v>
      </c>
      <c r="C152" t="str">
        <f t="shared" si="19"/>
        <v>1</v>
      </c>
      <c r="D152">
        <v>11</v>
      </c>
      <c r="E152" t="str">
        <f>"386"</f>
        <v>386</v>
      </c>
      <c r="F152" t="str">
        <f t="shared" si="17"/>
        <v>0000</v>
      </c>
    </row>
    <row r="153" spans="1:6">
      <c r="A153" t="str">
        <f>"T925-7"</f>
        <v>T925-7</v>
      </c>
      <c r="B153" t="str">
        <f t="shared" si="20"/>
        <v>VIA SAN MARINO VICINO AL 105-</v>
      </c>
      <c r="C153" t="str">
        <f t="shared" si="19"/>
        <v>1</v>
      </c>
      <c r="D153">
        <v>11</v>
      </c>
      <c r="E153" t="str">
        <f>"1085"</f>
        <v>1085</v>
      </c>
      <c r="F153" t="str">
        <f t="shared" si="17"/>
        <v>0000</v>
      </c>
    </row>
    <row r="154" spans="1:6">
      <c r="A154" t="str">
        <f>"T925-8"</f>
        <v>T925-8</v>
      </c>
      <c r="B154" t="str">
        <f t="shared" si="20"/>
        <v>VIA SAN MARINO VICINO AL 105-</v>
      </c>
      <c r="C154" t="str">
        <f t="shared" si="19"/>
        <v>1</v>
      </c>
      <c r="D154">
        <v>11</v>
      </c>
      <c r="E154" t="str">
        <f>"1085"</f>
        <v>1085</v>
      </c>
      <c r="F154" t="str">
        <f t="shared" si="17"/>
        <v>0000</v>
      </c>
    </row>
    <row r="155" spans="1:6">
      <c r="A155" t="str">
        <f>"T925-9"</f>
        <v>T925-9</v>
      </c>
      <c r="B155" t="str">
        <f t="shared" si="20"/>
        <v>VIA SAN MARINO VICINO AL 105-</v>
      </c>
      <c r="C155" t="str">
        <f t="shared" si="19"/>
        <v>1</v>
      </c>
      <c r="D155">
        <v>11</v>
      </c>
      <c r="E155" t="str">
        <f>"1085"</f>
        <v>1085</v>
      </c>
      <c r="F155" t="str">
        <f t="shared" si="17"/>
        <v>0000</v>
      </c>
    </row>
    <row r="156" spans="1:6">
      <c r="A156" t="str">
        <f>"T925-10"</f>
        <v>T925-10</v>
      </c>
      <c r="B156" t="str">
        <f t="shared" si="20"/>
        <v>VIA SAN MARINO VICINO AL 105-</v>
      </c>
      <c r="C156" t="str">
        <f t="shared" si="19"/>
        <v>1</v>
      </c>
      <c r="D156">
        <v>11</v>
      </c>
      <c r="E156" t="str">
        <f>"1085"</f>
        <v>1085</v>
      </c>
      <c r="F156" t="str">
        <f t="shared" si="17"/>
        <v>0000</v>
      </c>
    </row>
    <row r="157" spans="1:6">
      <c r="A157" t="str">
        <f>"T925-11"</f>
        <v>T925-11</v>
      </c>
      <c r="B157" t="str">
        <f t="shared" si="20"/>
        <v>VIA SAN MARINO VICINO AL 105-</v>
      </c>
      <c r="C157" t="str">
        <f t="shared" si="19"/>
        <v>1</v>
      </c>
      <c r="D157">
        <v>11</v>
      </c>
      <c r="E157" t="str">
        <f>"1086"</f>
        <v>1086</v>
      </c>
      <c r="F157" t="str">
        <f t="shared" si="17"/>
        <v>0000</v>
      </c>
    </row>
    <row r="158" spans="1:6">
      <c r="A158" t="str">
        <f>"T925-12"</f>
        <v>T925-12</v>
      </c>
      <c r="B158" t="str">
        <f t="shared" si="20"/>
        <v>VIA SAN MARINO VICINO AL 105-</v>
      </c>
      <c r="C158" t="str">
        <f t="shared" si="19"/>
        <v>1</v>
      </c>
      <c r="D158">
        <v>11</v>
      </c>
      <c r="E158" t="str">
        <f>"209"</f>
        <v>209</v>
      </c>
      <c r="F158" t="str">
        <f t="shared" si="17"/>
        <v>0000</v>
      </c>
    </row>
    <row r="159" spans="1:6">
      <c r="A159" t="str">
        <f>"T930-1"</f>
        <v>T930-1</v>
      </c>
      <c r="B159" t="str">
        <f>"VIA VENEZIA VICINO AL 6-"</f>
        <v>VIA VENEZIA VICINO AL 6-</v>
      </c>
      <c r="C159" t="str">
        <f t="shared" si="19"/>
        <v>1</v>
      </c>
      <c r="D159">
        <v>42</v>
      </c>
      <c r="E159" t="str">
        <f>"298"</f>
        <v>298</v>
      </c>
      <c r="F159" t="str">
        <f t="shared" si="17"/>
        <v>0000</v>
      </c>
    </row>
    <row r="160" spans="1:6">
      <c r="A160" t="str">
        <f>"T931-1"</f>
        <v>T931-1</v>
      </c>
      <c r="B160" t="str">
        <f>"VIA SAN FERMO VICINO AL 9-"</f>
        <v>VIA SAN FERMO VICINO AL 9-</v>
      </c>
      <c r="C160" t="str">
        <f t="shared" si="19"/>
        <v>1</v>
      </c>
      <c r="D160">
        <v>42</v>
      </c>
      <c r="E160" t="str">
        <f>"159"</f>
        <v>159</v>
      </c>
      <c r="F160" t="str">
        <f t="shared" si="17"/>
        <v>0000</v>
      </c>
    </row>
    <row r="161" spans="1:6">
      <c r="A161" t="str">
        <f>"T931-2"</f>
        <v>T931-2</v>
      </c>
      <c r="B161" t="str">
        <f>"VIA SAN FERMO VICINO AL 9-"</f>
        <v>VIA SAN FERMO VICINO AL 9-</v>
      </c>
      <c r="C161" t="str">
        <f t="shared" si="19"/>
        <v>1</v>
      </c>
      <c r="D161">
        <v>42</v>
      </c>
      <c r="E161" t="str">
        <f>"503"</f>
        <v>503</v>
      </c>
      <c r="F161" t="str">
        <f t="shared" si="17"/>
        <v>0000</v>
      </c>
    </row>
    <row r="162" spans="1:6">
      <c r="A162" t="str">
        <f>"T932-1"</f>
        <v>T932-1</v>
      </c>
      <c r="B162" t="str">
        <f>"VIA CARLO BONANNI VICINO AL 8-"</f>
        <v>VIA CARLO BONANNI VICINO AL 8-</v>
      </c>
      <c r="C162" t="str">
        <f t="shared" si="19"/>
        <v>1</v>
      </c>
      <c r="D162">
        <v>29</v>
      </c>
      <c r="E162" t="str">
        <f>"382"</f>
        <v>382</v>
      </c>
      <c r="F162" t="str">
        <f t="shared" si="17"/>
        <v>0000</v>
      </c>
    </row>
    <row r="163" spans="1:6">
      <c r="A163" t="str">
        <f>"T932-2"</f>
        <v>T932-2</v>
      </c>
      <c r="B163" t="str">
        <f>"VIA CARLO BONANNI VICINO AL 8-"</f>
        <v>VIA CARLO BONANNI VICINO AL 8-</v>
      </c>
      <c r="C163" t="str">
        <f t="shared" si="19"/>
        <v>1</v>
      </c>
      <c r="D163">
        <v>29</v>
      </c>
      <c r="E163" t="str">
        <f>"316"</f>
        <v>316</v>
      </c>
      <c r="F163" t="str">
        <f t="shared" si="17"/>
        <v>0000</v>
      </c>
    </row>
    <row r="164" spans="1:6">
      <c r="A164" t="str">
        <f>"T933-1"</f>
        <v>T933-1</v>
      </c>
      <c r="B164" t="str">
        <f>"VIA ROMAGNA VICINO AL 1-"</f>
        <v>VIA ROMAGNA VICINO AL 1-</v>
      </c>
      <c r="C164" t="str">
        <f t="shared" si="19"/>
        <v>1</v>
      </c>
      <c r="D164">
        <v>29</v>
      </c>
      <c r="E164" t="str">
        <f>"137"</f>
        <v>137</v>
      </c>
      <c r="F164" t="str">
        <f t="shared" si="17"/>
        <v>0000</v>
      </c>
    </row>
    <row r="165" spans="1:6">
      <c r="A165" t="str">
        <f>"T933-2"</f>
        <v>T933-2</v>
      </c>
      <c r="B165" t="str">
        <f>"VIA ROMAGNA VICINO AL 1-"</f>
        <v>VIA ROMAGNA VICINO AL 1-</v>
      </c>
      <c r="C165" t="str">
        <f t="shared" si="19"/>
        <v>1</v>
      </c>
      <c r="D165">
        <v>29</v>
      </c>
      <c r="E165" t="str">
        <f>"293"</f>
        <v>293</v>
      </c>
      <c r="F165" t="str">
        <f t="shared" si="17"/>
        <v>0000</v>
      </c>
    </row>
    <row r="166" spans="1:6">
      <c r="A166" t="str">
        <f>"T933-3"</f>
        <v>T933-3</v>
      </c>
      <c r="B166" t="str">
        <f>"VIA ROMAGNA VICINO AL 1-"</f>
        <v>VIA ROMAGNA VICINO AL 1-</v>
      </c>
      <c r="C166" t="str">
        <f t="shared" ref="C166:C195" si="21">"1"</f>
        <v>1</v>
      </c>
      <c r="D166">
        <v>29</v>
      </c>
      <c r="E166" t="str">
        <f>"42"</f>
        <v>42</v>
      </c>
      <c r="F166" t="str">
        <f t="shared" si="17"/>
        <v>0000</v>
      </c>
    </row>
    <row r="167" spans="1:6">
      <c r="A167" t="str">
        <f>"T938-1"</f>
        <v>T938-1</v>
      </c>
      <c r="B167" t="str">
        <f>"VIA DIGIONE VICINO AL 8-"</f>
        <v>VIA DIGIONE VICINO AL 8-</v>
      </c>
      <c r="C167" t="str">
        <f t="shared" si="21"/>
        <v>1</v>
      </c>
      <c r="D167">
        <v>28</v>
      </c>
      <c r="E167" t="str">
        <f>"705"</f>
        <v>705</v>
      </c>
      <c r="F167" t="str">
        <f t="shared" si="17"/>
        <v>0000</v>
      </c>
    </row>
    <row r="168" spans="1:6">
      <c r="A168" t="str">
        <f>"T938-3"</f>
        <v>T938-3</v>
      </c>
      <c r="B168" t="str">
        <f>"VIA DIGIONE VICINO AL 8-"</f>
        <v>VIA DIGIONE VICINO AL 8-</v>
      </c>
      <c r="C168" t="str">
        <f t="shared" si="21"/>
        <v>1</v>
      </c>
      <c r="D168">
        <v>28</v>
      </c>
      <c r="E168" t="str">
        <f>"703"</f>
        <v>703</v>
      </c>
      <c r="F168" t="str">
        <f t="shared" si="17"/>
        <v>0000</v>
      </c>
    </row>
    <row r="169" spans="1:6">
      <c r="A169" t="str">
        <f>"T954-1"</f>
        <v>T954-1</v>
      </c>
      <c r="B169" t="str">
        <f>"VIA RINALDO RIGOLA VICINO AL 52-"</f>
        <v>VIA RINALDO RIGOLA VICINO AL 52-</v>
      </c>
      <c r="C169" t="str">
        <f t="shared" si="21"/>
        <v>1</v>
      </c>
      <c r="D169">
        <v>42</v>
      </c>
      <c r="E169" t="str">
        <f>"401"</f>
        <v>401</v>
      </c>
      <c r="F169" t="str">
        <f t="shared" si="17"/>
        <v>0000</v>
      </c>
    </row>
    <row r="170" spans="1:6">
      <c r="A170" t="str">
        <f>"T960-1"</f>
        <v>T960-1</v>
      </c>
      <c r="B170" t="str">
        <f t="shared" ref="B170:B177" si="22">"V FRA' VINCENZO DA FIOREN VICINO AL 18-"</f>
        <v>V FRA' VINCENZO DA FIOREN VICINO AL 18-</v>
      </c>
      <c r="C170" t="str">
        <f t="shared" si="21"/>
        <v>1</v>
      </c>
      <c r="D170">
        <v>11</v>
      </c>
      <c r="E170" t="str">
        <f>"526"</f>
        <v>526</v>
      </c>
      <c r="F170" t="str">
        <f t="shared" si="17"/>
        <v>0000</v>
      </c>
    </row>
    <row r="171" spans="1:6">
      <c r="A171" t="str">
        <f>"T960-2"</f>
        <v>T960-2</v>
      </c>
      <c r="B171" t="str">
        <f t="shared" si="22"/>
        <v>V FRA' VINCENZO DA FIOREN VICINO AL 18-</v>
      </c>
      <c r="C171" t="str">
        <f t="shared" si="21"/>
        <v>1</v>
      </c>
      <c r="D171">
        <v>11</v>
      </c>
      <c r="E171" t="str">
        <f>"527"</f>
        <v>527</v>
      </c>
      <c r="F171" t="str">
        <f t="shared" si="17"/>
        <v>0000</v>
      </c>
    </row>
    <row r="172" spans="1:6">
      <c r="A172" t="str">
        <f>"T960-3"</f>
        <v>T960-3</v>
      </c>
      <c r="B172" t="str">
        <f t="shared" si="22"/>
        <v>V FRA' VINCENZO DA FIOREN VICINO AL 18-</v>
      </c>
      <c r="C172" t="str">
        <f t="shared" si="21"/>
        <v>1</v>
      </c>
      <c r="D172">
        <v>11</v>
      </c>
      <c r="E172" t="str">
        <f>"528"</f>
        <v>528</v>
      </c>
      <c r="F172" t="str">
        <f t="shared" si="17"/>
        <v>0000</v>
      </c>
    </row>
    <row r="173" spans="1:6">
      <c r="A173" t="str">
        <f>"T960-4"</f>
        <v>T960-4</v>
      </c>
      <c r="B173" t="str">
        <f t="shared" si="22"/>
        <v>V FRA' VINCENZO DA FIOREN VICINO AL 18-</v>
      </c>
      <c r="C173" t="str">
        <f t="shared" si="21"/>
        <v>1</v>
      </c>
      <c r="D173">
        <v>11</v>
      </c>
      <c r="E173" t="str">
        <f>"531"</f>
        <v>531</v>
      </c>
      <c r="F173" t="str">
        <f t="shared" si="17"/>
        <v>0000</v>
      </c>
    </row>
    <row r="174" spans="1:6">
      <c r="A174" t="str">
        <f>"T960-5"</f>
        <v>T960-5</v>
      </c>
      <c r="B174" t="str">
        <f t="shared" si="22"/>
        <v>V FRA' VINCENZO DA FIOREN VICINO AL 18-</v>
      </c>
      <c r="C174" t="str">
        <f t="shared" si="21"/>
        <v>1</v>
      </c>
      <c r="D174">
        <v>11</v>
      </c>
      <c r="E174" t="str">
        <f>"789"</f>
        <v>789</v>
      </c>
      <c r="F174" t="str">
        <f t="shared" si="17"/>
        <v>0000</v>
      </c>
    </row>
    <row r="175" spans="1:6">
      <c r="A175" t="str">
        <f>"T960-6"</f>
        <v>T960-6</v>
      </c>
      <c r="B175" t="str">
        <f t="shared" si="22"/>
        <v>V FRA' VINCENZO DA FIOREN VICINO AL 18-</v>
      </c>
      <c r="C175" t="str">
        <f t="shared" si="21"/>
        <v>1</v>
      </c>
      <c r="D175">
        <v>11</v>
      </c>
      <c r="E175" t="str">
        <f>"99999"</f>
        <v>99999</v>
      </c>
      <c r="F175" t="str">
        <f t="shared" si="17"/>
        <v>0000</v>
      </c>
    </row>
    <row r="176" spans="1:6">
      <c r="A176" t="str">
        <f>"T960-7"</f>
        <v>T960-7</v>
      </c>
      <c r="B176" t="str">
        <f t="shared" si="22"/>
        <v>V FRA' VINCENZO DA FIOREN VICINO AL 18-</v>
      </c>
      <c r="C176" t="str">
        <f t="shared" si="21"/>
        <v>1</v>
      </c>
      <c r="D176">
        <v>11</v>
      </c>
      <c r="E176" t="str">
        <f>"788"</f>
        <v>788</v>
      </c>
      <c r="F176" t="str">
        <f t="shared" si="17"/>
        <v>0000</v>
      </c>
    </row>
    <row r="177" spans="1:6">
      <c r="A177" t="str">
        <f>"T960-8"</f>
        <v>T960-8</v>
      </c>
      <c r="B177" t="str">
        <f t="shared" si="22"/>
        <v>V FRA' VINCENZO DA FIOREN VICINO AL 18-</v>
      </c>
      <c r="C177" t="str">
        <f t="shared" si="21"/>
        <v>1</v>
      </c>
      <c r="D177">
        <v>11</v>
      </c>
      <c r="E177" t="str">
        <f>"783"</f>
        <v>783</v>
      </c>
      <c r="F177" t="str">
        <f t="shared" si="17"/>
        <v>0000</v>
      </c>
    </row>
    <row r="178" spans="1:6">
      <c r="A178" t="str">
        <f>"T962-1"</f>
        <v>T962-1</v>
      </c>
      <c r="B178" t="str">
        <f t="shared" ref="B178:B189" si="23">"VIA BOLOGNA VICINO AL 21-"</f>
        <v>VIA BOLOGNA VICINO AL 21-</v>
      </c>
      <c r="C178" t="str">
        <f t="shared" si="21"/>
        <v>1</v>
      </c>
      <c r="D178">
        <v>30</v>
      </c>
      <c r="E178" t="str">
        <f>"7"</f>
        <v>7</v>
      </c>
      <c r="F178" t="str">
        <f t="shared" si="17"/>
        <v>0000</v>
      </c>
    </row>
    <row r="179" spans="1:6">
      <c r="A179" t="str">
        <f>"T962-2"</f>
        <v>T962-2</v>
      </c>
      <c r="B179" t="str">
        <f t="shared" si="23"/>
        <v>VIA BOLOGNA VICINO AL 21-</v>
      </c>
      <c r="C179" t="str">
        <f t="shared" si="21"/>
        <v>1</v>
      </c>
      <c r="D179">
        <v>30</v>
      </c>
      <c r="E179" t="str">
        <f>"12"</f>
        <v>12</v>
      </c>
      <c r="F179" t="str">
        <f t="shared" si="17"/>
        <v>0000</v>
      </c>
    </row>
    <row r="180" spans="1:6">
      <c r="A180" t="str">
        <f>"T962-3"</f>
        <v>T962-3</v>
      </c>
      <c r="B180" t="str">
        <f t="shared" si="23"/>
        <v>VIA BOLOGNA VICINO AL 21-</v>
      </c>
      <c r="C180" t="str">
        <f t="shared" si="21"/>
        <v>1</v>
      </c>
      <c r="D180">
        <v>30</v>
      </c>
      <c r="E180" t="str">
        <f>"14"</f>
        <v>14</v>
      </c>
      <c r="F180" t="str">
        <f t="shared" si="17"/>
        <v>0000</v>
      </c>
    </row>
    <row r="181" spans="1:6">
      <c r="A181" t="str">
        <f>"T962-4"</f>
        <v>T962-4</v>
      </c>
      <c r="B181" t="str">
        <f t="shared" si="23"/>
        <v>VIA BOLOGNA VICINO AL 21-</v>
      </c>
      <c r="C181" t="str">
        <f t="shared" si="21"/>
        <v>1</v>
      </c>
      <c r="D181">
        <v>30</v>
      </c>
      <c r="E181" t="str">
        <f>"18"</f>
        <v>18</v>
      </c>
      <c r="F181" t="str">
        <f t="shared" si="17"/>
        <v>0000</v>
      </c>
    </row>
    <row r="182" spans="1:6">
      <c r="A182" t="str">
        <f>"T962-5"</f>
        <v>T962-5</v>
      </c>
      <c r="B182" t="str">
        <f t="shared" si="23"/>
        <v>VIA BOLOGNA VICINO AL 21-</v>
      </c>
      <c r="C182" t="str">
        <f t="shared" si="21"/>
        <v>1</v>
      </c>
      <c r="D182">
        <v>30</v>
      </c>
      <c r="E182" t="str">
        <f>"46"</f>
        <v>46</v>
      </c>
      <c r="F182" t="str">
        <f t="shared" si="17"/>
        <v>0000</v>
      </c>
    </row>
    <row r="183" spans="1:6">
      <c r="A183" t="str">
        <f>"T962-6"</f>
        <v>T962-6</v>
      </c>
      <c r="B183" t="str">
        <f t="shared" si="23"/>
        <v>VIA BOLOGNA VICINO AL 21-</v>
      </c>
      <c r="C183" t="str">
        <f t="shared" si="21"/>
        <v>1</v>
      </c>
      <c r="D183">
        <v>30</v>
      </c>
      <c r="E183" t="str">
        <f>"674"</f>
        <v>674</v>
      </c>
      <c r="F183" t="str">
        <f t="shared" si="17"/>
        <v>0000</v>
      </c>
    </row>
    <row r="184" spans="1:6">
      <c r="A184" t="str">
        <f>"T962-7"</f>
        <v>T962-7</v>
      </c>
      <c r="B184" t="str">
        <f t="shared" si="23"/>
        <v>VIA BOLOGNA VICINO AL 21-</v>
      </c>
      <c r="C184" t="str">
        <f t="shared" si="21"/>
        <v>1</v>
      </c>
      <c r="D184">
        <v>30</v>
      </c>
      <c r="E184" t="str">
        <f>"48"</f>
        <v>48</v>
      </c>
      <c r="F184" t="str">
        <f t="shared" si="17"/>
        <v>0000</v>
      </c>
    </row>
    <row r="185" spans="1:6">
      <c r="A185" t="str">
        <f>"T962-8"</f>
        <v>T962-8</v>
      </c>
      <c r="B185" t="str">
        <f t="shared" si="23"/>
        <v>VIA BOLOGNA VICINO AL 21-</v>
      </c>
      <c r="C185" t="str">
        <f t="shared" si="21"/>
        <v>1</v>
      </c>
      <c r="D185">
        <v>30</v>
      </c>
      <c r="E185" t="str">
        <f>"58"</f>
        <v>58</v>
      </c>
      <c r="F185" t="str">
        <f t="shared" si="17"/>
        <v>0000</v>
      </c>
    </row>
    <row r="186" spans="1:6">
      <c r="A186" t="str">
        <f>"T962-9"</f>
        <v>T962-9</v>
      </c>
      <c r="B186" t="str">
        <f t="shared" si="23"/>
        <v>VIA BOLOGNA VICINO AL 21-</v>
      </c>
      <c r="C186" t="str">
        <f t="shared" si="21"/>
        <v>1</v>
      </c>
      <c r="D186">
        <v>30</v>
      </c>
      <c r="E186" t="str">
        <f>"178"</f>
        <v>178</v>
      </c>
      <c r="F186" t="str">
        <f t="shared" si="17"/>
        <v>0000</v>
      </c>
    </row>
    <row r="187" spans="1:6">
      <c r="A187" t="str">
        <f>"T962-10"</f>
        <v>T962-10</v>
      </c>
      <c r="B187" t="str">
        <f t="shared" si="23"/>
        <v>VIA BOLOGNA VICINO AL 21-</v>
      </c>
      <c r="C187" t="str">
        <f t="shared" si="21"/>
        <v>1</v>
      </c>
      <c r="D187">
        <v>30</v>
      </c>
      <c r="E187" t="str">
        <f>"179"</f>
        <v>179</v>
      </c>
      <c r="F187" t="str">
        <f t="shared" si="17"/>
        <v>0000</v>
      </c>
    </row>
    <row r="188" spans="1:6">
      <c r="A188" t="str">
        <f>"T962-11"</f>
        <v>T962-11</v>
      </c>
      <c r="B188" t="str">
        <f t="shared" si="23"/>
        <v>VIA BOLOGNA VICINO AL 21-</v>
      </c>
      <c r="C188" t="str">
        <f t="shared" si="21"/>
        <v>1</v>
      </c>
      <c r="D188">
        <v>30</v>
      </c>
      <c r="E188" t="str">
        <f>"675"</f>
        <v>675</v>
      </c>
      <c r="F188" t="str">
        <f t="shared" si="17"/>
        <v>0000</v>
      </c>
    </row>
    <row r="189" spans="1:6">
      <c r="A189" t="str">
        <f>"T962-12"</f>
        <v>T962-12</v>
      </c>
      <c r="B189" t="str">
        <f t="shared" si="23"/>
        <v>VIA BOLOGNA VICINO AL 21-</v>
      </c>
      <c r="C189" t="str">
        <f t="shared" si="21"/>
        <v>1</v>
      </c>
      <c r="D189">
        <v>30</v>
      </c>
      <c r="E189" t="str">
        <f>"6"</f>
        <v>6</v>
      </c>
      <c r="F189" t="str">
        <f t="shared" ref="F189:F252" si="24">"0000"</f>
        <v>0000</v>
      </c>
    </row>
    <row r="190" spans="1:6">
      <c r="A190" t="str">
        <f>"T963-1"</f>
        <v>T963-1</v>
      </c>
      <c r="B190" t="str">
        <f>"VIA ASILO D.D.GARBARINO VICINO AL 25-"</f>
        <v>VIA ASILO D.D.GARBARINO VICINO AL 25-</v>
      </c>
      <c r="C190" t="str">
        <f t="shared" si="21"/>
        <v>1</v>
      </c>
      <c r="D190">
        <v>30</v>
      </c>
      <c r="E190" t="str">
        <f>"675"</f>
        <v>675</v>
      </c>
      <c r="F190" t="str">
        <f t="shared" si="24"/>
        <v>0000</v>
      </c>
    </row>
    <row r="191" spans="1:6">
      <c r="A191" t="str">
        <f>"T963-2"</f>
        <v>T963-2</v>
      </c>
      <c r="B191" t="str">
        <f>"VIA ASILO D.D.GARBARINO VICINO AL 25-"</f>
        <v>VIA ASILO D.D.GARBARINO VICINO AL 25-</v>
      </c>
      <c r="C191" t="str">
        <f t="shared" si="21"/>
        <v>1</v>
      </c>
      <c r="D191">
        <v>30</v>
      </c>
      <c r="E191" t="str">
        <f>"676"</f>
        <v>676</v>
      </c>
      <c r="F191" t="str">
        <f t="shared" si="24"/>
        <v>0000</v>
      </c>
    </row>
    <row r="192" spans="1:6">
      <c r="A192" t="str">
        <f>"T964-1"</f>
        <v>T964-1</v>
      </c>
      <c r="B192" t="str">
        <f>"VIA BOLOGNA VICINO AL 148AR-"</f>
        <v>VIA BOLOGNA VICINO AL 148AR-</v>
      </c>
      <c r="C192" t="str">
        <f t="shared" si="21"/>
        <v>1</v>
      </c>
      <c r="D192">
        <v>29</v>
      </c>
      <c r="E192" t="str">
        <f>"381"</f>
        <v>381</v>
      </c>
      <c r="F192" t="str">
        <f t="shared" si="24"/>
        <v>0000</v>
      </c>
    </row>
    <row r="193" spans="1:6">
      <c r="A193" t="str">
        <f>"T965-3"</f>
        <v>T965-3</v>
      </c>
      <c r="B193" t="str">
        <f>"SALITA DI GRANAROLO VICINO AL 29-"</f>
        <v>SALITA DI GRANAROLO VICINO AL 29-</v>
      </c>
      <c r="C193" t="str">
        <f t="shared" si="21"/>
        <v>1</v>
      </c>
      <c r="D193">
        <v>31</v>
      </c>
      <c r="E193" t="str">
        <f>"1"</f>
        <v>1</v>
      </c>
      <c r="F193" t="str">
        <f t="shared" si="24"/>
        <v>0000</v>
      </c>
    </row>
    <row r="194" spans="1:6">
      <c r="A194" t="str">
        <f>"T985-1"</f>
        <v>T985-1</v>
      </c>
      <c r="B194" t="str">
        <f>"SAL SAN FRANCESCO DA PAOL VICINO AL 47-"</f>
        <v>SAL SAN FRANCESCO DA PAOL VICINO AL 47-</v>
      </c>
      <c r="C194" t="str">
        <f t="shared" si="21"/>
        <v>1</v>
      </c>
      <c r="D194">
        <v>30</v>
      </c>
      <c r="E194" t="str">
        <f>"19"</f>
        <v>19</v>
      </c>
      <c r="F194" t="str">
        <f t="shared" si="24"/>
        <v>0000</v>
      </c>
    </row>
    <row r="195" spans="1:6">
      <c r="A195" t="str">
        <f>"T985-2"</f>
        <v>T985-2</v>
      </c>
      <c r="B195" t="str">
        <f>"SAL SAN FRANCESCO DA PAOL VICINO AL 47-"</f>
        <v>SAL SAN FRANCESCO DA PAOL VICINO AL 47-</v>
      </c>
      <c r="C195" t="str">
        <f t="shared" si="21"/>
        <v>1</v>
      </c>
      <c r="D195">
        <v>30</v>
      </c>
      <c r="E195" t="str">
        <f>"21"</f>
        <v>21</v>
      </c>
      <c r="F195" t="str">
        <f t="shared" si="24"/>
        <v>0000</v>
      </c>
    </row>
    <row r="196" spans="1:6">
      <c r="A196" t="str">
        <f>"T994-1"</f>
        <v>T994-1</v>
      </c>
      <c r="B196" t="str">
        <f>"VIA CURRO VICINO AL 21-"</f>
        <v>VIA CURRO VICINO AL 21-</v>
      </c>
      <c r="C196" t="str">
        <f>"4"</f>
        <v>4</v>
      </c>
      <c r="D196">
        <v>39</v>
      </c>
      <c r="E196" t="str">
        <f>"686"</f>
        <v>686</v>
      </c>
      <c r="F196" t="str">
        <f t="shared" si="24"/>
        <v>0000</v>
      </c>
    </row>
    <row r="197" spans="1:6">
      <c r="A197" t="str">
        <f>"T994-2"</f>
        <v>T994-2</v>
      </c>
      <c r="B197" t="str">
        <f>"VIA CURRO VICINO AL 21-"</f>
        <v>VIA CURRO VICINO AL 21-</v>
      </c>
      <c r="C197" t="str">
        <f>"4"</f>
        <v>4</v>
      </c>
      <c r="D197">
        <v>39</v>
      </c>
      <c r="E197" t="str">
        <f>"433"</f>
        <v>433</v>
      </c>
      <c r="F197" t="str">
        <f t="shared" si="24"/>
        <v>0000</v>
      </c>
    </row>
    <row r="198" spans="1:6">
      <c r="A198" t="str">
        <f>"T996-1"</f>
        <v>T996-1</v>
      </c>
      <c r="B198" t="str">
        <f>"CORSO F MAGELLANO  1-"</f>
        <v>CORSO F MAGELLANO  1-</v>
      </c>
      <c r="C198" t="str">
        <f>"4"</f>
        <v>4</v>
      </c>
      <c r="D198">
        <v>39</v>
      </c>
      <c r="E198" t="str">
        <f>"282"</f>
        <v>282</v>
      </c>
      <c r="F198" t="str">
        <f t="shared" si="24"/>
        <v>0000</v>
      </c>
    </row>
    <row r="199" spans="1:6">
      <c r="A199" t="str">
        <f>"T1001-1"</f>
        <v>T1001-1</v>
      </c>
      <c r="B199" t="str">
        <f>"VIA VITTORIO ALFIERI VICINO AL 4-"</f>
        <v>VIA VITTORIO ALFIERI VICINO AL 4-</v>
      </c>
      <c r="C199" t="str">
        <f>"4"</f>
        <v>4</v>
      </c>
      <c r="D199">
        <v>40</v>
      </c>
      <c r="E199" t="str">
        <f>"99999"</f>
        <v>99999</v>
      </c>
      <c r="F199" t="str">
        <f t="shared" si="24"/>
        <v>0000</v>
      </c>
    </row>
    <row r="200" spans="1:6">
      <c r="A200" t="str">
        <f>"T1007-1"</f>
        <v>T1007-1</v>
      </c>
      <c r="B200" t="str">
        <f>"VIA VENEZIA VICINO AL 5-"</f>
        <v>VIA VENEZIA VICINO AL 5-</v>
      </c>
      <c r="C200" t="str">
        <f t="shared" ref="C200:C231" si="25">"1"</f>
        <v>1</v>
      </c>
      <c r="D200">
        <v>30</v>
      </c>
      <c r="E200" t="str">
        <f>"413"</f>
        <v>413</v>
      </c>
      <c r="F200" t="str">
        <f t="shared" si="24"/>
        <v>0000</v>
      </c>
    </row>
    <row r="201" spans="1:6">
      <c r="A201" t="str">
        <f>"T1007-2"</f>
        <v>T1007-2</v>
      </c>
      <c r="B201" t="str">
        <f>"VIA VENEZIA VICINO AL 5-"</f>
        <v>VIA VENEZIA VICINO AL 5-</v>
      </c>
      <c r="C201" t="str">
        <f t="shared" si="25"/>
        <v>1</v>
      </c>
      <c r="D201">
        <v>30</v>
      </c>
      <c r="E201" t="str">
        <f>"291"</f>
        <v>291</v>
      </c>
      <c r="F201" t="str">
        <f t="shared" si="24"/>
        <v>0000</v>
      </c>
    </row>
    <row r="202" spans="1:6">
      <c r="A202" t="str">
        <f>"T1007-3"</f>
        <v>T1007-3</v>
      </c>
      <c r="B202" t="str">
        <f>"VIA VENEZIA VICINO AL 5-"</f>
        <v>VIA VENEZIA VICINO AL 5-</v>
      </c>
      <c r="C202" t="str">
        <f t="shared" si="25"/>
        <v>1</v>
      </c>
      <c r="D202">
        <v>30</v>
      </c>
      <c r="E202" t="str">
        <f>"292"</f>
        <v>292</v>
      </c>
      <c r="F202" t="str">
        <f t="shared" si="24"/>
        <v>0000</v>
      </c>
    </row>
    <row r="203" spans="1:6">
      <c r="A203" t="str">
        <f>"T1008-2"</f>
        <v>T1008-2</v>
      </c>
      <c r="B203" t="str">
        <f>"VIA DIGIONE VICINO AL 8-"</f>
        <v>VIA DIGIONE VICINO AL 8-</v>
      </c>
      <c r="C203" t="str">
        <f t="shared" si="25"/>
        <v>1</v>
      </c>
      <c r="D203">
        <v>28</v>
      </c>
      <c r="E203" t="str">
        <f>"441"</f>
        <v>441</v>
      </c>
      <c r="F203" t="str">
        <f t="shared" si="24"/>
        <v>0000</v>
      </c>
    </row>
    <row r="204" spans="1:6">
      <c r="A204" t="str">
        <f>"T1008-3"</f>
        <v>T1008-3</v>
      </c>
      <c r="B204" t="str">
        <f>"VIA DIGIONE VICINO AL 8-"</f>
        <v>VIA DIGIONE VICINO AL 8-</v>
      </c>
      <c r="C204" t="str">
        <f t="shared" si="25"/>
        <v>1</v>
      </c>
      <c r="D204">
        <v>28</v>
      </c>
      <c r="E204" t="str">
        <f>"591"</f>
        <v>591</v>
      </c>
      <c r="F204" t="str">
        <f t="shared" si="24"/>
        <v>0000</v>
      </c>
    </row>
    <row r="205" spans="1:6">
      <c r="A205" t="str">
        <f>"T1008-4"</f>
        <v>T1008-4</v>
      </c>
      <c r="B205" t="str">
        <f>"VIA DIGIONE VICINO AL 8-"</f>
        <v>VIA DIGIONE VICINO AL 8-</v>
      </c>
      <c r="C205" t="str">
        <f t="shared" si="25"/>
        <v>1</v>
      </c>
      <c r="D205">
        <v>28</v>
      </c>
      <c r="E205" t="str">
        <f>"1205"</f>
        <v>1205</v>
      </c>
      <c r="F205" t="str">
        <f t="shared" si="24"/>
        <v>0000</v>
      </c>
    </row>
    <row r="206" spans="1:6">
      <c r="A206" t="str">
        <f>"T1011-1"</f>
        <v>T1011-1</v>
      </c>
      <c r="B206" t="str">
        <f t="shared" ref="B206:B211" si="26">"L.GO SAN FRANCESCO DA PAO VICINO AL 5-"</f>
        <v>L.GO SAN FRANCESCO DA PAO VICINO AL 5-</v>
      </c>
      <c r="C206" t="str">
        <f t="shared" si="25"/>
        <v>1</v>
      </c>
      <c r="D206">
        <v>30</v>
      </c>
      <c r="E206" t="str">
        <f>"19"</f>
        <v>19</v>
      </c>
      <c r="F206" t="str">
        <f t="shared" si="24"/>
        <v>0000</v>
      </c>
    </row>
    <row r="207" spans="1:6">
      <c r="A207" t="str">
        <f>"T1011-2"</f>
        <v>T1011-2</v>
      </c>
      <c r="B207" t="str">
        <f t="shared" si="26"/>
        <v>L.GO SAN FRANCESCO DA PAO VICINO AL 5-</v>
      </c>
      <c r="C207" t="str">
        <f t="shared" si="25"/>
        <v>1</v>
      </c>
      <c r="D207">
        <v>30</v>
      </c>
      <c r="E207" t="str">
        <f>"26"</f>
        <v>26</v>
      </c>
      <c r="F207" t="str">
        <f t="shared" si="24"/>
        <v>0000</v>
      </c>
    </row>
    <row r="208" spans="1:6">
      <c r="A208" t="str">
        <f>"T1011-3"</f>
        <v>T1011-3</v>
      </c>
      <c r="B208" t="str">
        <f t="shared" si="26"/>
        <v>L.GO SAN FRANCESCO DA PAO VICINO AL 5-</v>
      </c>
      <c r="C208" t="str">
        <f t="shared" si="25"/>
        <v>1</v>
      </c>
      <c r="D208">
        <v>30</v>
      </c>
      <c r="E208" t="str">
        <f>"349"</f>
        <v>349</v>
      </c>
      <c r="F208" t="str">
        <f t="shared" si="24"/>
        <v>0000</v>
      </c>
    </row>
    <row r="209" spans="1:6">
      <c r="A209" t="str">
        <f>"T1011-4"</f>
        <v>T1011-4</v>
      </c>
      <c r="B209" t="str">
        <f t="shared" si="26"/>
        <v>L.GO SAN FRANCESCO DA PAO VICINO AL 5-</v>
      </c>
      <c r="C209" t="str">
        <f t="shared" si="25"/>
        <v>1</v>
      </c>
      <c r="D209">
        <v>30</v>
      </c>
      <c r="E209" t="str">
        <f>"356"</f>
        <v>356</v>
      </c>
      <c r="F209" t="str">
        <f t="shared" si="24"/>
        <v>0000</v>
      </c>
    </row>
    <row r="210" spans="1:6">
      <c r="A210" t="str">
        <f>"T1011-5"</f>
        <v>T1011-5</v>
      </c>
      <c r="B210" t="str">
        <f t="shared" si="26"/>
        <v>L.GO SAN FRANCESCO DA PAO VICINO AL 5-</v>
      </c>
      <c r="C210" t="str">
        <f t="shared" si="25"/>
        <v>1</v>
      </c>
      <c r="D210">
        <v>30</v>
      </c>
      <c r="E210" t="str">
        <f>"384"</f>
        <v>384</v>
      </c>
      <c r="F210" t="str">
        <f t="shared" si="24"/>
        <v>0000</v>
      </c>
    </row>
    <row r="211" spans="1:6">
      <c r="A211" t="str">
        <f>"T1011-6"</f>
        <v>T1011-6</v>
      </c>
      <c r="B211" t="str">
        <f t="shared" si="26"/>
        <v>L.GO SAN FRANCESCO DA PAO VICINO AL 5-</v>
      </c>
      <c r="C211" t="str">
        <f t="shared" si="25"/>
        <v>1</v>
      </c>
      <c r="D211">
        <v>30</v>
      </c>
      <c r="E211" t="str">
        <f>"20"</f>
        <v>20</v>
      </c>
      <c r="F211" t="str">
        <f t="shared" si="24"/>
        <v>0000</v>
      </c>
    </row>
    <row r="212" spans="1:6">
      <c r="A212" t="str">
        <f>"T1015-1"</f>
        <v>T1015-1</v>
      </c>
      <c r="B212" t="str">
        <f t="shared" ref="B212:B221" si="27">"SAL SAN FRANCESCO DA PAOL VICINO AL 49-"</f>
        <v>SAL SAN FRANCESCO DA PAOL VICINO AL 49-</v>
      </c>
      <c r="C212" t="str">
        <f t="shared" si="25"/>
        <v>1</v>
      </c>
      <c r="D212">
        <v>29</v>
      </c>
      <c r="E212" t="str">
        <f>"209"</f>
        <v>209</v>
      </c>
      <c r="F212" t="str">
        <f t="shared" si="24"/>
        <v>0000</v>
      </c>
    </row>
    <row r="213" spans="1:6">
      <c r="A213" t="str">
        <f>"T1015-2"</f>
        <v>T1015-2</v>
      </c>
      <c r="B213" t="str">
        <f t="shared" si="27"/>
        <v>SAL SAN FRANCESCO DA PAOL VICINO AL 49-</v>
      </c>
      <c r="C213" t="str">
        <f t="shared" si="25"/>
        <v>1</v>
      </c>
      <c r="D213">
        <v>30</v>
      </c>
      <c r="E213" t="str">
        <f>"19"</f>
        <v>19</v>
      </c>
      <c r="F213" t="str">
        <f t="shared" si="24"/>
        <v>0000</v>
      </c>
    </row>
    <row r="214" spans="1:6">
      <c r="A214" t="str">
        <f>"T1015-3"</f>
        <v>T1015-3</v>
      </c>
      <c r="B214" t="str">
        <f t="shared" si="27"/>
        <v>SAL SAN FRANCESCO DA PAOL VICINO AL 49-</v>
      </c>
      <c r="C214" t="str">
        <f t="shared" si="25"/>
        <v>1</v>
      </c>
      <c r="D214">
        <v>30</v>
      </c>
      <c r="E214" t="str">
        <f>"25"</f>
        <v>25</v>
      </c>
      <c r="F214" t="str">
        <f t="shared" si="24"/>
        <v>0000</v>
      </c>
    </row>
    <row r="215" spans="1:6">
      <c r="A215" t="str">
        <f>"T1015-4"</f>
        <v>T1015-4</v>
      </c>
      <c r="B215" t="str">
        <f t="shared" si="27"/>
        <v>SAL SAN FRANCESCO DA PAOL VICINO AL 49-</v>
      </c>
      <c r="C215" t="str">
        <f t="shared" si="25"/>
        <v>1</v>
      </c>
      <c r="D215">
        <v>30</v>
      </c>
      <c r="E215" t="str">
        <f>"26"</f>
        <v>26</v>
      </c>
      <c r="F215" t="str">
        <f t="shared" si="24"/>
        <v>0000</v>
      </c>
    </row>
    <row r="216" spans="1:6">
      <c r="A216" t="str">
        <f>"T1015-5"</f>
        <v>T1015-5</v>
      </c>
      <c r="B216" t="str">
        <f t="shared" si="27"/>
        <v>SAL SAN FRANCESCO DA PAOL VICINO AL 49-</v>
      </c>
      <c r="C216" t="str">
        <f t="shared" si="25"/>
        <v>1</v>
      </c>
      <c r="D216">
        <v>30</v>
      </c>
      <c r="E216" t="str">
        <f>"349"</f>
        <v>349</v>
      </c>
      <c r="F216" t="str">
        <f t="shared" si="24"/>
        <v>0000</v>
      </c>
    </row>
    <row r="217" spans="1:6">
      <c r="A217" t="str">
        <f>"T1015-6"</f>
        <v>T1015-6</v>
      </c>
      <c r="B217" t="str">
        <f t="shared" si="27"/>
        <v>SAL SAN FRANCESCO DA PAOL VICINO AL 49-</v>
      </c>
      <c r="C217" t="str">
        <f t="shared" si="25"/>
        <v>1</v>
      </c>
      <c r="D217">
        <v>30</v>
      </c>
      <c r="E217" t="str">
        <f>"356"</f>
        <v>356</v>
      </c>
      <c r="F217" t="str">
        <f t="shared" si="24"/>
        <v>0000</v>
      </c>
    </row>
    <row r="218" spans="1:6">
      <c r="A218" t="str">
        <f>"T1015-7"</f>
        <v>T1015-7</v>
      </c>
      <c r="B218" t="str">
        <f t="shared" si="27"/>
        <v>SAL SAN FRANCESCO DA PAOL VICINO AL 49-</v>
      </c>
      <c r="C218" t="str">
        <f t="shared" si="25"/>
        <v>1</v>
      </c>
      <c r="D218">
        <v>30</v>
      </c>
      <c r="E218" t="str">
        <f>"379"</f>
        <v>379</v>
      </c>
      <c r="F218" t="str">
        <f t="shared" si="24"/>
        <v>0000</v>
      </c>
    </row>
    <row r="219" spans="1:6">
      <c r="A219" t="str">
        <f>"T1015-8"</f>
        <v>T1015-8</v>
      </c>
      <c r="B219" t="str">
        <f t="shared" si="27"/>
        <v>SAL SAN FRANCESCO DA PAOL VICINO AL 49-</v>
      </c>
      <c r="C219" t="str">
        <f t="shared" si="25"/>
        <v>1</v>
      </c>
      <c r="D219">
        <v>30</v>
      </c>
      <c r="E219" t="str">
        <f>"384"</f>
        <v>384</v>
      </c>
      <c r="F219" t="str">
        <f t="shared" si="24"/>
        <v>0000</v>
      </c>
    </row>
    <row r="220" spans="1:6">
      <c r="A220" t="str">
        <f>"T1015-9"</f>
        <v>T1015-9</v>
      </c>
      <c r="B220" t="str">
        <f t="shared" si="27"/>
        <v>SAL SAN FRANCESCO DA PAOL VICINO AL 49-</v>
      </c>
      <c r="C220" t="str">
        <f t="shared" si="25"/>
        <v>1</v>
      </c>
      <c r="D220">
        <v>30</v>
      </c>
      <c r="E220" t="str">
        <f>"391"</f>
        <v>391</v>
      </c>
      <c r="F220" t="str">
        <f t="shared" si="24"/>
        <v>0000</v>
      </c>
    </row>
    <row r="221" spans="1:6">
      <c r="A221" t="str">
        <f>"T1015-10"</f>
        <v>T1015-10</v>
      </c>
      <c r="B221" t="str">
        <f t="shared" si="27"/>
        <v>SAL SAN FRANCESCO DA PAOL VICINO AL 49-</v>
      </c>
      <c r="C221" t="str">
        <f t="shared" si="25"/>
        <v>1</v>
      </c>
      <c r="D221">
        <v>30</v>
      </c>
      <c r="E221" t="str">
        <f>"20"</f>
        <v>20</v>
      </c>
      <c r="F221" t="str">
        <f t="shared" si="24"/>
        <v>0000</v>
      </c>
    </row>
    <row r="222" spans="1:6">
      <c r="A222" t="str">
        <f>"T1017-1"</f>
        <v>T1017-1</v>
      </c>
      <c r="B222" t="str">
        <f>"VIA MILANO VICINO AL 63-"</f>
        <v>VIA MILANO VICINO AL 63-</v>
      </c>
      <c r="C222" t="str">
        <f t="shared" si="25"/>
        <v>1</v>
      </c>
      <c r="D222">
        <v>60</v>
      </c>
      <c r="E222" t="str">
        <f>"166"</f>
        <v>166</v>
      </c>
      <c r="F222" t="str">
        <f t="shared" si="24"/>
        <v>0000</v>
      </c>
    </row>
    <row r="223" spans="1:6">
      <c r="A223" t="str">
        <f>"T1017-2"</f>
        <v>T1017-2</v>
      </c>
      <c r="B223" t="str">
        <f>"VIA MILANO VICINO AL 63-"</f>
        <v>VIA MILANO VICINO AL 63-</v>
      </c>
      <c r="C223" t="str">
        <f t="shared" si="25"/>
        <v>1</v>
      </c>
      <c r="D223">
        <v>60</v>
      </c>
      <c r="E223" t="str">
        <f>"394"</f>
        <v>394</v>
      </c>
      <c r="F223" t="str">
        <f t="shared" si="24"/>
        <v>0000</v>
      </c>
    </row>
    <row r="224" spans="1:6">
      <c r="A224" t="str">
        <f>"T1017-3"</f>
        <v>T1017-3</v>
      </c>
      <c r="B224" t="str">
        <f>"VIA MILANO VICINO AL 63-"</f>
        <v>VIA MILANO VICINO AL 63-</v>
      </c>
      <c r="C224" t="str">
        <f t="shared" si="25"/>
        <v>1</v>
      </c>
      <c r="D224">
        <v>60</v>
      </c>
      <c r="E224" t="str">
        <f>"395"</f>
        <v>395</v>
      </c>
      <c r="F224" t="str">
        <f t="shared" si="24"/>
        <v>0000</v>
      </c>
    </row>
    <row r="225" spans="1:6">
      <c r="A225" t="str">
        <f>"T1018-1"</f>
        <v>T1018-1</v>
      </c>
      <c r="B225" t="str">
        <f t="shared" ref="B225:B231" si="28">"VIA BOLOGNA VICINO AL 110R-"</f>
        <v>VIA BOLOGNA VICINO AL 110R-</v>
      </c>
      <c r="C225" t="str">
        <f t="shared" si="25"/>
        <v>1</v>
      </c>
      <c r="D225">
        <v>29</v>
      </c>
      <c r="E225" t="str">
        <f>"114"</f>
        <v>114</v>
      </c>
      <c r="F225" t="str">
        <f t="shared" si="24"/>
        <v>0000</v>
      </c>
    </row>
    <row r="226" spans="1:6">
      <c r="A226" t="str">
        <f>"T1018-2"</f>
        <v>T1018-2</v>
      </c>
      <c r="B226" t="str">
        <f t="shared" si="28"/>
        <v>VIA BOLOGNA VICINO AL 110R-</v>
      </c>
      <c r="C226" t="str">
        <f t="shared" si="25"/>
        <v>1</v>
      </c>
      <c r="D226">
        <v>29</v>
      </c>
      <c r="E226" t="str">
        <f>"116"</f>
        <v>116</v>
      </c>
      <c r="F226" t="str">
        <f t="shared" si="24"/>
        <v>0000</v>
      </c>
    </row>
    <row r="227" spans="1:6">
      <c r="A227" t="str">
        <f>"T1018-3"</f>
        <v>T1018-3</v>
      </c>
      <c r="B227" t="str">
        <f t="shared" si="28"/>
        <v>VIA BOLOGNA VICINO AL 110R-</v>
      </c>
      <c r="C227" t="str">
        <f t="shared" si="25"/>
        <v>1</v>
      </c>
      <c r="D227">
        <v>29</v>
      </c>
      <c r="E227" t="str">
        <f>"118"</f>
        <v>118</v>
      </c>
      <c r="F227" t="str">
        <f t="shared" si="24"/>
        <v>0000</v>
      </c>
    </row>
    <row r="228" spans="1:6">
      <c r="A228" t="str">
        <f>"T1018-4"</f>
        <v>T1018-4</v>
      </c>
      <c r="B228" t="str">
        <f t="shared" si="28"/>
        <v>VIA BOLOGNA VICINO AL 110R-</v>
      </c>
      <c r="C228" t="str">
        <f t="shared" si="25"/>
        <v>1</v>
      </c>
      <c r="D228">
        <v>29</v>
      </c>
      <c r="E228" t="str">
        <f>"340"</f>
        <v>340</v>
      </c>
      <c r="F228" t="str">
        <f t="shared" si="24"/>
        <v>0000</v>
      </c>
    </row>
    <row r="229" spans="1:6">
      <c r="A229" t="str">
        <f>"T1018-6"</f>
        <v>T1018-6</v>
      </c>
      <c r="B229" t="str">
        <f t="shared" si="28"/>
        <v>VIA BOLOGNA VICINO AL 110R-</v>
      </c>
      <c r="C229" t="str">
        <f t="shared" si="25"/>
        <v>1</v>
      </c>
      <c r="D229">
        <v>29</v>
      </c>
      <c r="E229" t="str">
        <f>"114"</f>
        <v>114</v>
      </c>
      <c r="F229" t="str">
        <f t="shared" si="24"/>
        <v>0000</v>
      </c>
    </row>
    <row r="230" spans="1:6">
      <c r="A230" t="str">
        <f>"T1018-7"</f>
        <v>T1018-7</v>
      </c>
      <c r="B230" t="str">
        <f t="shared" si="28"/>
        <v>VIA BOLOGNA VICINO AL 110R-</v>
      </c>
      <c r="C230" t="str">
        <f t="shared" si="25"/>
        <v>1</v>
      </c>
      <c r="D230">
        <v>29</v>
      </c>
      <c r="E230" t="str">
        <f>"118"</f>
        <v>118</v>
      </c>
      <c r="F230" t="str">
        <f t="shared" si="24"/>
        <v>0000</v>
      </c>
    </row>
    <row r="231" spans="1:6">
      <c r="A231" t="str">
        <f>"T1018-8"</f>
        <v>T1018-8</v>
      </c>
      <c r="B231" t="str">
        <f t="shared" si="28"/>
        <v>VIA BOLOGNA VICINO AL 110R-</v>
      </c>
      <c r="C231" t="str">
        <f t="shared" si="25"/>
        <v>1</v>
      </c>
      <c r="D231">
        <v>29</v>
      </c>
      <c r="E231" t="str">
        <f>"99999"</f>
        <v>99999</v>
      </c>
      <c r="F231" t="str">
        <f t="shared" si="24"/>
        <v>0000</v>
      </c>
    </row>
    <row r="232" spans="1:6">
      <c r="A232" t="str">
        <f>"T1019-1"</f>
        <v>T1019-1</v>
      </c>
      <c r="B232" t="str">
        <f t="shared" ref="B232:B245" si="29">"VIA BARTOLOMEO BIANCO VICINO AL 130-"</f>
        <v>VIA BARTOLOMEO BIANCO VICINO AL 130-</v>
      </c>
      <c r="C232" t="str">
        <f t="shared" ref="C232:C263" si="30">"1"</f>
        <v>1</v>
      </c>
      <c r="D232">
        <v>11</v>
      </c>
      <c r="E232" t="str">
        <f>"51"</f>
        <v>51</v>
      </c>
      <c r="F232" t="str">
        <f t="shared" si="24"/>
        <v>0000</v>
      </c>
    </row>
    <row r="233" spans="1:6">
      <c r="A233" t="str">
        <f>"T1019-2"</f>
        <v>T1019-2</v>
      </c>
      <c r="B233" t="str">
        <f t="shared" si="29"/>
        <v>VIA BARTOLOMEO BIANCO VICINO AL 130-</v>
      </c>
      <c r="C233" t="str">
        <f t="shared" si="30"/>
        <v>1</v>
      </c>
      <c r="D233">
        <v>11</v>
      </c>
      <c r="E233" t="str">
        <f>"52"</f>
        <v>52</v>
      </c>
      <c r="F233" t="str">
        <f t="shared" si="24"/>
        <v>0000</v>
      </c>
    </row>
    <row r="234" spans="1:6">
      <c r="A234" t="str">
        <f>"T1019-3"</f>
        <v>T1019-3</v>
      </c>
      <c r="B234" t="str">
        <f t="shared" si="29"/>
        <v>VIA BARTOLOMEO BIANCO VICINO AL 130-</v>
      </c>
      <c r="C234" t="str">
        <f t="shared" si="30"/>
        <v>1</v>
      </c>
      <c r="D234">
        <v>11</v>
      </c>
      <c r="E234" t="str">
        <f>"444"</f>
        <v>444</v>
      </c>
      <c r="F234" t="str">
        <f t="shared" si="24"/>
        <v>0000</v>
      </c>
    </row>
    <row r="235" spans="1:6">
      <c r="A235" t="str">
        <f>"T1019-4"</f>
        <v>T1019-4</v>
      </c>
      <c r="B235" t="str">
        <f t="shared" si="29"/>
        <v>VIA BARTOLOMEO BIANCO VICINO AL 130-</v>
      </c>
      <c r="C235" t="str">
        <f t="shared" si="30"/>
        <v>1</v>
      </c>
      <c r="D235">
        <v>11</v>
      </c>
      <c r="E235" t="str">
        <f>"446"</f>
        <v>446</v>
      </c>
      <c r="F235" t="str">
        <f t="shared" si="24"/>
        <v>0000</v>
      </c>
    </row>
    <row r="236" spans="1:6">
      <c r="A236" t="str">
        <f>"T1019-5"</f>
        <v>T1019-5</v>
      </c>
      <c r="B236" t="str">
        <f t="shared" si="29"/>
        <v>VIA BARTOLOMEO BIANCO VICINO AL 130-</v>
      </c>
      <c r="C236" t="str">
        <f t="shared" si="30"/>
        <v>1</v>
      </c>
      <c r="D236">
        <v>11</v>
      </c>
      <c r="E236" t="str">
        <f>"50"</f>
        <v>50</v>
      </c>
      <c r="F236" t="str">
        <f t="shared" si="24"/>
        <v>0000</v>
      </c>
    </row>
    <row r="237" spans="1:6">
      <c r="A237" t="str">
        <f>"T1019-6"</f>
        <v>T1019-6</v>
      </c>
      <c r="B237" t="str">
        <f t="shared" si="29"/>
        <v>VIA BARTOLOMEO BIANCO VICINO AL 130-</v>
      </c>
      <c r="C237" t="str">
        <f t="shared" si="30"/>
        <v>1</v>
      </c>
      <c r="D237">
        <v>11</v>
      </c>
      <c r="E237" t="str">
        <f>"459"</f>
        <v>459</v>
      </c>
      <c r="F237" t="str">
        <f t="shared" si="24"/>
        <v>0000</v>
      </c>
    </row>
    <row r="238" spans="1:6">
      <c r="A238" t="str">
        <f>"T1019-8"</f>
        <v>T1019-8</v>
      </c>
      <c r="B238" t="str">
        <f t="shared" si="29"/>
        <v>VIA BARTOLOMEO BIANCO VICINO AL 130-</v>
      </c>
      <c r="C238" t="str">
        <f t="shared" si="30"/>
        <v>1</v>
      </c>
      <c r="D238">
        <v>11</v>
      </c>
      <c r="E238" t="str">
        <f>"443"</f>
        <v>443</v>
      </c>
      <c r="F238" t="str">
        <f t="shared" si="24"/>
        <v>0000</v>
      </c>
    </row>
    <row r="239" spans="1:6">
      <c r="A239" t="str">
        <f>"T1019-9"</f>
        <v>T1019-9</v>
      </c>
      <c r="B239" t="str">
        <f t="shared" si="29"/>
        <v>VIA BARTOLOMEO BIANCO VICINO AL 130-</v>
      </c>
      <c r="C239" t="str">
        <f t="shared" si="30"/>
        <v>1</v>
      </c>
      <c r="D239">
        <v>11</v>
      </c>
      <c r="E239" t="str">
        <f>"460"</f>
        <v>460</v>
      </c>
      <c r="F239" t="str">
        <f t="shared" si="24"/>
        <v>0000</v>
      </c>
    </row>
    <row r="240" spans="1:6">
      <c r="A240" t="str">
        <f>"T1019-10"</f>
        <v>T1019-10</v>
      </c>
      <c r="B240" t="str">
        <f t="shared" si="29"/>
        <v>VIA BARTOLOMEO BIANCO VICINO AL 130-</v>
      </c>
      <c r="C240" t="str">
        <f t="shared" si="30"/>
        <v>1</v>
      </c>
      <c r="D240">
        <v>11</v>
      </c>
      <c r="E240" t="str">
        <f>"461"</f>
        <v>461</v>
      </c>
      <c r="F240" t="str">
        <f t="shared" si="24"/>
        <v>0000</v>
      </c>
    </row>
    <row r="241" spans="1:6">
      <c r="A241" t="str">
        <f>"T1019-11"</f>
        <v>T1019-11</v>
      </c>
      <c r="B241" t="str">
        <f t="shared" si="29"/>
        <v>VIA BARTOLOMEO BIANCO VICINO AL 130-</v>
      </c>
      <c r="C241" t="str">
        <f t="shared" si="30"/>
        <v>1</v>
      </c>
      <c r="D241">
        <v>11</v>
      </c>
      <c r="E241" t="str">
        <f>"94"</f>
        <v>94</v>
      </c>
      <c r="F241" t="str">
        <f t="shared" si="24"/>
        <v>0000</v>
      </c>
    </row>
    <row r="242" spans="1:6">
      <c r="A242" t="str">
        <f>"T1019-12"</f>
        <v>T1019-12</v>
      </c>
      <c r="B242" t="str">
        <f t="shared" si="29"/>
        <v>VIA BARTOLOMEO BIANCO VICINO AL 130-</v>
      </c>
      <c r="C242" t="str">
        <f t="shared" si="30"/>
        <v>1</v>
      </c>
      <c r="D242">
        <v>11</v>
      </c>
      <c r="E242" t="str">
        <f>"450"</f>
        <v>450</v>
      </c>
      <c r="F242" t="str">
        <f t="shared" si="24"/>
        <v>0000</v>
      </c>
    </row>
    <row r="243" spans="1:6">
      <c r="A243" t="str">
        <f>"T1019-13"</f>
        <v>T1019-13</v>
      </c>
      <c r="B243" t="str">
        <f t="shared" si="29"/>
        <v>VIA BARTOLOMEO BIANCO VICINO AL 130-</v>
      </c>
      <c r="C243" t="str">
        <f t="shared" si="30"/>
        <v>1</v>
      </c>
      <c r="D243">
        <v>11</v>
      </c>
      <c r="E243" t="str">
        <f>"451"</f>
        <v>451</v>
      </c>
      <c r="F243" t="str">
        <f t="shared" si="24"/>
        <v>0000</v>
      </c>
    </row>
    <row r="244" spans="1:6">
      <c r="A244" t="str">
        <f>"T1019-14"</f>
        <v>T1019-14</v>
      </c>
      <c r="B244" t="str">
        <f t="shared" si="29"/>
        <v>VIA BARTOLOMEO BIANCO VICINO AL 130-</v>
      </c>
      <c r="C244" t="str">
        <f t="shared" si="30"/>
        <v>1</v>
      </c>
      <c r="D244">
        <v>11</v>
      </c>
      <c r="E244" t="str">
        <f>"463"</f>
        <v>463</v>
      </c>
      <c r="F244" t="str">
        <f t="shared" si="24"/>
        <v>0000</v>
      </c>
    </row>
    <row r="245" spans="1:6">
      <c r="A245" t="str">
        <f>"T1019-15"</f>
        <v>T1019-15</v>
      </c>
      <c r="B245" t="str">
        <f t="shared" si="29"/>
        <v>VIA BARTOLOMEO BIANCO VICINO AL 130-</v>
      </c>
      <c r="C245" t="str">
        <f t="shared" si="30"/>
        <v>1</v>
      </c>
      <c r="D245">
        <v>11</v>
      </c>
      <c r="E245" t="str">
        <f>"454"</f>
        <v>454</v>
      </c>
      <c r="F245" t="str">
        <f t="shared" si="24"/>
        <v>0000</v>
      </c>
    </row>
    <row r="246" spans="1:6">
      <c r="A246" t="str">
        <f>"T1020-1"</f>
        <v>T1020-1</v>
      </c>
      <c r="B246" t="str">
        <f t="shared" ref="B246:B252" si="31">"VIA BARTOLOMEO BIANCO VICINO AL 71-"</f>
        <v>VIA BARTOLOMEO BIANCO VICINO AL 71-</v>
      </c>
      <c r="C246" t="str">
        <f t="shared" si="30"/>
        <v>1</v>
      </c>
      <c r="D246">
        <v>11</v>
      </c>
      <c r="E246" t="str">
        <f>"25"</f>
        <v>25</v>
      </c>
      <c r="F246" t="str">
        <f t="shared" si="24"/>
        <v>0000</v>
      </c>
    </row>
    <row r="247" spans="1:6">
      <c r="A247" t="str">
        <f>"T1020-2"</f>
        <v>T1020-2</v>
      </c>
      <c r="B247" t="str">
        <f t="shared" si="31"/>
        <v>VIA BARTOLOMEO BIANCO VICINO AL 71-</v>
      </c>
      <c r="C247" t="str">
        <f t="shared" si="30"/>
        <v>1</v>
      </c>
      <c r="D247">
        <v>11</v>
      </c>
      <c r="E247" t="str">
        <f>"26"</f>
        <v>26</v>
      </c>
      <c r="F247" t="str">
        <f t="shared" si="24"/>
        <v>0000</v>
      </c>
    </row>
    <row r="248" spans="1:6">
      <c r="A248" t="str">
        <f>"T1020-4"</f>
        <v>T1020-4</v>
      </c>
      <c r="B248" t="str">
        <f t="shared" si="31"/>
        <v>VIA BARTOLOMEO BIANCO VICINO AL 71-</v>
      </c>
      <c r="C248" t="str">
        <f t="shared" si="30"/>
        <v>1</v>
      </c>
      <c r="D248">
        <v>11</v>
      </c>
      <c r="E248" t="str">
        <f>"434"</f>
        <v>434</v>
      </c>
      <c r="F248" t="str">
        <f t="shared" si="24"/>
        <v>0000</v>
      </c>
    </row>
    <row r="249" spans="1:6">
      <c r="A249" t="str">
        <f>"T1020-5"</f>
        <v>T1020-5</v>
      </c>
      <c r="B249" t="str">
        <f t="shared" si="31"/>
        <v>VIA BARTOLOMEO BIANCO VICINO AL 71-</v>
      </c>
      <c r="C249" t="str">
        <f t="shared" si="30"/>
        <v>1</v>
      </c>
      <c r="D249">
        <v>11</v>
      </c>
      <c r="E249" t="str">
        <f>"470"</f>
        <v>470</v>
      </c>
      <c r="F249" t="str">
        <f t="shared" si="24"/>
        <v>0000</v>
      </c>
    </row>
    <row r="250" spans="1:6">
      <c r="A250" t="str">
        <f>"T1020-9"</f>
        <v>T1020-9</v>
      </c>
      <c r="B250" t="str">
        <f t="shared" si="31"/>
        <v>VIA BARTOLOMEO BIANCO VICINO AL 71-</v>
      </c>
      <c r="C250" t="str">
        <f t="shared" si="30"/>
        <v>1</v>
      </c>
      <c r="D250">
        <v>11</v>
      </c>
      <c r="E250" t="str">
        <f>"209"</f>
        <v>209</v>
      </c>
      <c r="F250" t="str">
        <f t="shared" si="24"/>
        <v>0000</v>
      </c>
    </row>
    <row r="251" spans="1:6">
      <c r="A251" t="str">
        <f>"T1020-11"</f>
        <v>T1020-11</v>
      </c>
      <c r="B251" t="str">
        <f t="shared" si="31"/>
        <v>VIA BARTOLOMEO BIANCO VICINO AL 71-</v>
      </c>
      <c r="C251" t="str">
        <f t="shared" si="30"/>
        <v>1</v>
      </c>
      <c r="D251">
        <v>11</v>
      </c>
      <c r="E251" t="str">
        <f>"210"</f>
        <v>210</v>
      </c>
      <c r="F251" t="str">
        <f t="shared" si="24"/>
        <v>0000</v>
      </c>
    </row>
    <row r="252" spans="1:6">
      <c r="A252" t="str">
        <f>"T1020-12"</f>
        <v>T1020-12</v>
      </c>
      <c r="B252" t="str">
        <f t="shared" si="31"/>
        <v>VIA BARTOLOMEO BIANCO VICINO AL 71-</v>
      </c>
      <c r="C252" t="str">
        <f t="shared" si="30"/>
        <v>1</v>
      </c>
      <c r="D252">
        <v>11</v>
      </c>
      <c r="E252" t="str">
        <f>"299"</f>
        <v>299</v>
      </c>
      <c r="F252" t="str">
        <f t="shared" si="24"/>
        <v>0000</v>
      </c>
    </row>
    <row r="253" spans="1:6">
      <c r="A253" t="str">
        <f>"T1021-1"</f>
        <v>T1021-1</v>
      </c>
      <c r="B253" t="str">
        <f t="shared" ref="B253:B275" si="32">"VIA SAN MARINO VICINO AL 104-"</f>
        <v>VIA SAN MARINO VICINO AL 104-</v>
      </c>
      <c r="C253" t="str">
        <f t="shared" si="30"/>
        <v>1</v>
      </c>
      <c r="D253">
        <v>11</v>
      </c>
      <c r="E253" t="str">
        <f>"465"</f>
        <v>465</v>
      </c>
      <c r="F253" t="str">
        <f t="shared" ref="F253:F316" si="33">"0000"</f>
        <v>0000</v>
      </c>
    </row>
    <row r="254" spans="1:6">
      <c r="A254" t="str">
        <f>"T1021-3"</f>
        <v>T1021-3</v>
      </c>
      <c r="B254" t="str">
        <f t="shared" si="32"/>
        <v>VIA SAN MARINO VICINO AL 104-</v>
      </c>
      <c r="C254" t="str">
        <f t="shared" si="30"/>
        <v>1</v>
      </c>
      <c r="D254">
        <v>11</v>
      </c>
      <c r="E254" t="str">
        <f>"660"</f>
        <v>660</v>
      </c>
      <c r="F254" t="str">
        <f t="shared" si="33"/>
        <v>0000</v>
      </c>
    </row>
    <row r="255" spans="1:6">
      <c r="A255" t="str">
        <f>"T1021-4"</f>
        <v>T1021-4</v>
      </c>
      <c r="B255" t="str">
        <f t="shared" si="32"/>
        <v>VIA SAN MARINO VICINO AL 104-</v>
      </c>
      <c r="C255" t="str">
        <f t="shared" si="30"/>
        <v>1</v>
      </c>
      <c r="D255">
        <v>11</v>
      </c>
      <c r="E255" t="str">
        <f>"659"</f>
        <v>659</v>
      </c>
      <c r="F255" t="str">
        <f t="shared" si="33"/>
        <v>0000</v>
      </c>
    </row>
    <row r="256" spans="1:6">
      <c r="A256" t="str">
        <f>"T1021-5"</f>
        <v>T1021-5</v>
      </c>
      <c r="B256" t="str">
        <f t="shared" si="32"/>
        <v>VIA SAN MARINO VICINO AL 104-</v>
      </c>
      <c r="C256" t="str">
        <f t="shared" si="30"/>
        <v>1</v>
      </c>
      <c r="D256">
        <v>11</v>
      </c>
      <c r="E256" t="str">
        <f>"659"</f>
        <v>659</v>
      </c>
      <c r="F256" t="str">
        <f t="shared" si="33"/>
        <v>0000</v>
      </c>
    </row>
    <row r="257" spans="1:6">
      <c r="A257" t="str">
        <f>"T1021-6"</f>
        <v>T1021-6</v>
      </c>
      <c r="B257" t="str">
        <f t="shared" si="32"/>
        <v>VIA SAN MARINO VICINO AL 104-</v>
      </c>
      <c r="C257" t="str">
        <f t="shared" si="30"/>
        <v>1</v>
      </c>
      <c r="D257">
        <v>11</v>
      </c>
      <c r="E257" t="str">
        <f>"675"</f>
        <v>675</v>
      </c>
      <c r="F257" t="str">
        <f t="shared" si="33"/>
        <v>0000</v>
      </c>
    </row>
    <row r="258" spans="1:6">
      <c r="A258" t="str">
        <f>"T1021-7"</f>
        <v>T1021-7</v>
      </c>
      <c r="B258" t="str">
        <f t="shared" si="32"/>
        <v>VIA SAN MARINO VICINO AL 104-</v>
      </c>
      <c r="C258" t="str">
        <f t="shared" si="30"/>
        <v>1</v>
      </c>
      <c r="D258">
        <v>11</v>
      </c>
      <c r="E258" t="str">
        <f>"669"</f>
        <v>669</v>
      </c>
      <c r="F258" t="str">
        <f t="shared" si="33"/>
        <v>0000</v>
      </c>
    </row>
    <row r="259" spans="1:6">
      <c r="A259" t="str">
        <f>"T1021-8"</f>
        <v>T1021-8</v>
      </c>
      <c r="B259" t="str">
        <f t="shared" si="32"/>
        <v>VIA SAN MARINO VICINO AL 104-</v>
      </c>
      <c r="C259" t="str">
        <f t="shared" si="30"/>
        <v>1</v>
      </c>
      <c r="D259">
        <v>11</v>
      </c>
      <c r="E259" t="str">
        <f>"209"</f>
        <v>209</v>
      </c>
      <c r="F259" t="str">
        <f t="shared" si="33"/>
        <v>0000</v>
      </c>
    </row>
    <row r="260" spans="1:6">
      <c r="A260" t="str">
        <f>"T1021-9"</f>
        <v>T1021-9</v>
      </c>
      <c r="B260" t="str">
        <f t="shared" si="32"/>
        <v>VIA SAN MARINO VICINO AL 104-</v>
      </c>
      <c r="C260" t="str">
        <f t="shared" si="30"/>
        <v>1</v>
      </c>
      <c r="D260">
        <v>11</v>
      </c>
      <c r="E260" t="str">
        <f>"210"</f>
        <v>210</v>
      </c>
      <c r="F260" t="str">
        <f t="shared" si="33"/>
        <v>0000</v>
      </c>
    </row>
    <row r="261" spans="1:6">
      <c r="A261" t="str">
        <f>"T1021-10"</f>
        <v>T1021-10</v>
      </c>
      <c r="B261" t="str">
        <f t="shared" si="32"/>
        <v>VIA SAN MARINO VICINO AL 104-</v>
      </c>
      <c r="C261" t="str">
        <f t="shared" si="30"/>
        <v>1</v>
      </c>
      <c r="D261">
        <v>11</v>
      </c>
      <c r="E261" t="str">
        <f>"1085"</f>
        <v>1085</v>
      </c>
      <c r="F261" t="str">
        <f t="shared" si="33"/>
        <v>0000</v>
      </c>
    </row>
    <row r="262" spans="1:6">
      <c r="A262" t="str">
        <f>"T1021-11"</f>
        <v>T1021-11</v>
      </c>
      <c r="B262" t="str">
        <f t="shared" si="32"/>
        <v>VIA SAN MARINO VICINO AL 104-</v>
      </c>
      <c r="C262" t="str">
        <f t="shared" si="30"/>
        <v>1</v>
      </c>
      <c r="D262">
        <v>11</v>
      </c>
      <c r="E262" t="str">
        <f>"1085"</f>
        <v>1085</v>
      </c>
      <c r="F262" t="str">
        <f t="shared" si="33"/>
        <v>0000</v>
      </c>
    </row>
    <row r="263" spans="1:6">
      <c r="A263" t="str">
        <f>"T1021-13"</f>
        <v>T1021-13</v>
      </c>
      <c r="B263" t="str">
        <f t="shared" si="32"/>
        <v>VIA SAN MARINO VICINO AL 104-</v>
      </c>
      <c r="C263" t="str">
        <f t="shared" si="30"/>
        <v>1</v>
      </c>
      <c r="D263">
        <v>11</v>
      </c>
      <c r="E263" t="str">
        <f>"207"</f>
        <v>207</v>
      </c>
      <c r="F263" t="str">
        <f t="shared" si="33"/>
        <v>0000</v>
      </c>
    </row>
    <row r="264" spans="1:6">
      <c r="A264" t="str">
        <f>"T1021-22"</f>
        <v>T1021-22</v>
      </c>
      <c r="B264" t="str">
        <f t="shared" si="32"/>
        <v>VIA SAN MARINO VICINO AL 104-</v>
      </c>
      <c r="C264" t="str">
        <f t="shared" ref="C264:C275" si="34">"1"</f>
        <v>1</v>
      </c>
      <c r="D264">
        <v>11</v>
      </c>
      <c r="E264" t="str">
        <f>"675"</f>
        <v>675</v>
      </c>
      <c r="F264" t="str">
        <f t="shared" si="33"/>
        <v>0000</v>
      </c>
    </row>
    <row r="265" spans="1:6">
      <c r="A265" t="str">
        <f>"T1021-23"</f>
        <v>T1021-23</v>
      </c>
      <c r="B265" t="str">
        <f t="shared" si="32"/>
        <v>VIA SAN MARINO VICINO AL 104-</v>
      </c>
      <c r="C265" t="str">
        <f t="shared" si="34"/>
        <v>1</v>
      </c>
      <c r="D265">
        <v>11</v>
      </c>
      <c r="E265" t="str">
        <f>"49"</f>
        <v>49</v>
      </c>
      <c r="F265" t="str">
        <f t="shared" si="33"/>
        <v>0000</v>
      </c>
    </row>
    <row r="266" spans="1:6">
      <c r="A266" t="str">
        <f>"T1021-24"</f>
        <v>T1021-24</v>
      </c>
      <c r="B266" t="str">
        <f t="shared" si="32"/>
        <v>VIA SAN MARINO VICINO AL 104-</v>
      </c>
      <c r="C266" t="str">
        <f t="shared" si="34"/>
        <v>1</v>
      </c>
      <c r="D266">
        <v>11</v>
      </c>
      <c r="E266" t="str">
        <f>"25"</f>
        <v>25</v>
      </c>
      <c r="F266" t="str">
        <f t="shared" si="33"/>
        <v>0000</v>
      </c>
    </row>
    <row r="267" spans="1:6">
      <c r="A267" t="str">
        <f>"T1021-25"</f>
        <v>T1021-25</v>
      </c>
      <c r="B267" t="str">
        <f t="shared" si="32"/>
        <v>VIA SAN MARINO VICINO AL 104-</v>
      </c>
      <c r="C267" t="str">
        <f t="shared" si="34"/>
        <v>1</v>
      </c>
      <c r="D267">
        <v>11</v>
      </c>
      <c r="E267" t="str">
        <f>"26"</f>
        <v>26</v>
      </c>
      <c r="F267" t="str">
        <f t="shared" si="33"/>
        <v>0000</v>
      </c>
    </row>
    <row r="268" spans="1:6">
      <c r="A268" t="str">
        <f>"T1021-26"</f>
        <v>T1021-26</v>
      </c>
      <c r="B268" t="str">
        <f t="shared" si="32"/>
        <v>VIA SAN MARINO VICINO AL 104-</v>
      </c>
      <c r="C268" t="str">
        <f t="shared" si="34"/>
        <v>1</v>
      </c>
      <c r="D268">
        <v>11</v>
      </c>
      <c r="E268" t="str">
        <f>"51"</f>
        <v>51</v>
      </c>
      <c r="F268" t="str">
        <f t="shared" si="33"/>
        <v>0000</v>
      </c>
    </row>
    <row r="269" spans="1:6">
      <c r="A269" t="str">
        <f>"T1021-27"</f>
        <v>T1021-27</v>
      </c>
      <c r="B269" t="str">
        <f t="shared" si="32"/>
        <v>VIA SAN MARINO VICINO AL 104-</v>
      </c>
      <c r="C269" t="str">
        <f t="shared" si="34"/>
        <v>1</v>
      </c>
      <c r="D269">
        <v>11</v>
      </c>
      <c r="E269" t="str">
        <f>"52"</f>
        <v>52</v>
      </c>
      <c r="F269" t="str">
        <f t="shared" si="33"/>
        <v>0000</v>
      </c>
    </row>
    <row r="270" spans="1:6">
      <c r="A270" t="str">
        <f>"T1021-28"</f>
        <v>T1021-28</v>
      </c>
      <c r="B270" t="str">
        <f t="shared" si="32"/>
        <v>VIA SAN MARINO VICINO AL 104-</v>
      </c>
      <c r="C270" t="str">
        <f t="shared" si="34"/>
        <v>1</v>
      </c>
      <c r="D270">
        <v>11</v>
      </c>
      <c r="E270" t="str">
        <f>"30"</f>
        <v>30</v>
      </c>
      <c r="F270" t="str">
        <f t="shared" si="33"/>
        <v>0000</v>
      </c>
    </row>
    <row r="271" spans="1:6">
      <c r="A271" t="str">
        <f>"T1021-29"</f>
        <v>T1021-29</v>
      </c>
      <c r="B271" t="str">
        <f t="shared" si="32"/>
        <v>VIA SAN MARINO VICINO AL 104-</v>
      </c>
      <c r="C271" t="str">
        <f t="shared" si="34"/>
        <v>1</v>
      </c>
      <c r="D271">
        <v>29</v>
      </c>
      <c r="E271" t="str">
        <f>"705"</f>
        <v>705</v>
      </c>
      <c r="F271" t="str">
        <f t="shared" si="33"/>
        <v>0000</v>
      </c>
    </row>
    <row r="272" spans="1:6">
      <c r="A272" t="str">
        <f>"T1021-30"</f>
        <v>T1021-30</v>
      </c>
      <c r="B272" t="str">
        <f t="shared" si="32"/>
        <v>VIA SAN MARINO VICINO AL 104-</v>
      </c>
      <c r="C272" t="str">
        <f t="shared" si="34"/>
        <v>1</v>
      </c>
      <c r="D272">
        <v>11</v>
      </c>
      <c r="E272" t="str">
        <f>"329"</f>
        <v>329</v>
      </c>
      <c r="F272" t="str">
        <f t="shared" si="33"/>
        <v>0000</v>
      </c>
    </row>
    <row r="273" spans="1:6">
      <c r="A273" t="str">
        <f>"T1021-31"</f>
        <v>T1021-31</v>
      </c>
      <c r="B273" t="str">
        <f t="shared" si="32"/>
        <v>VIA SAN MARINO VICINO AL 104-</v>
      </c>
      <c r="C273" t="str">
        <f t="shared" si="34"/>
        <v>1</v>
      </c>
      <c r="D273">
        <v>11</v>
      </c>
      <c r="E273" t="str">
        <f>"443"</f>
        <v>443</v>
      </c>
      <c r="F273" t="str">
        <f t="shared" si="33"/>
        <v>0000</v>
      </c>
    </row>
    <row r="274" spans="1:6">
      <c r="A274" t="str">
        <f>"T1021-32"</f>
        <v>T1021-32</v>
      </c>
      <c r="B274" t="str">
        <f t="shared" si="32"/>
        <v>VIA SAN MARINO VICINO AL 104-</v>
      </c>
      <c r="C274" t="str">
        <f t="shared" si="34"/>
        <v>1</v>
      </c>
      <c r="D274">
        <v>29</v>
      </c>
      <c r="E274" t="str">
        <f>"809"</f>
        <v>809</v>
      </c>
      <c r="F274" t="str">
        <f t="shared" si="33"/>
        <v>0000</v>
      </c>
    </row>
    <row r="275" spans="1:6">
      <c r="A275" t="str">
        <f>"T1021-34"</f>
        <v>T1021-34</v>
      </c>
      <c r="B275" t="str">
        <f t="shared" si="32"/>
        <v>VIA SAN MARINO VICINO AL 104-</v>
      </c>
      <c r="C275" t="str">
        <f t="shared" si="34"/>
        <v>1</v>
      </c>
      <c r="D275">
        <v>29</v>
      </c>
      <c r="E275" t="str">
        <f>"811"</f>
        <v>811</v>
      </c>
      <c r="F275" t="str">
        <f t="shared" si="33"/>
        <v>0000</v>
      </c>
    </row>
    <row r="276" spans="1:6">
      <c r="A276" t="str">
        <f>"T1022-1"</f>
        <v>T1022-1</v>
      </c>
      <c r="B276" t="str">
        <f>"SALITA DI GRANAROLO VICINO AL 123-"</f>
        <v>SALITA DI GRANAROLO VICINO AL 123-</v>
      </c>
      <c r="C276" t="str">
        <f>"4"</f>
        <v>4</v>
      </c>
      <c r="D276">
        <v>37</v>
      </c>
      <c r="E276" t="str">
        <f>"379"</f>
        <v>379</v>
      </c>
      <c r="F276" t="str">
        <f t="shared" si="33"/>
        <v>0000</v>
      </c>
    </row>
    <row r="277" spans="1:6">
      <c r="A277" t="str">
        <f>"T1022-2"</f>
        <v>T1022-2</v>
      </c>
      <c r="B277" t="str">
        <f>"SALITA DI GRANAROLO VICINO AL 123-"</f>
        <v>SALITA DI GRANAROLO VICINO AL 123-</v>
      </c>
      <c r="C277" t="str">
        <f>"4"</f>
        <v>4</v>
      </c>
      <c r="D277">
        <v>37</v>
      </c>
      <c r="E277" t="str">
        <f>"382"</f>
        <v>382</v>
      </c>
      <c r="F277" t="str">
        <f t="shared" si="33"/>
        <v>0000</v>
      </c>
    </row>
    <row r="278" spans="1:6">
      <c r="A278" t="str">
        <f>"T1023-23"</f>
        <v>T1023-23</v>
      </c>
      <c r="B278" t="str">
        <f>"VIA MARZABOTTO VICINO AL 42-"</f>
        <v>VIA MARZABOTTO VICINO AL 42-</v>
      </c>
      <c r="C278" t="str">
        <f t="shared" ref="C278:C286" si="35">"1"</f>
        <v>1</v>
      </c>
      <c r="D278">
        <v>29</v>
      </c>
      <c r="E278" t="str">
        <f>"705"</f>
        <v>705</v>
      </c>
      <c r="F278" t="str">
        <f t="shared" si="33"/>
        <v>0000</v>
      </c>
    </row>
    <row r="279" spans="1:6">
      <c r="A279" t="str">
        <f>"T1023-24"</f>
        <v>T1023-24</v>
      </c>
      <c r="B279" t="str">
        <f>"VIA MARZABOTTO VICINO AL 42-"</f>
        <v>VIA MARZABOTTO VICINO AL 42-</v>
      </c>
      <c r="C279" t="str">
        <f t="shared" si="35"/>
        <v>1</v>
      </c>
      <c r="D279">
        <v>11</v>
      </c>
      <c r="E279" t="str">
        <f>"30"</f>
        <v>30</v>
      </c>
      <c r="F279" t="str">
        <f t="shared" si="33"/>
        <v>0000</v>
      </c>
    </row>
    <row r="280" spans="1:6">
      <c r="A280" t="str">
        <f>"T1023-25"</f>
        <v>T1023-25</v>
      </c>
      <c r="B280" t="str">
        <f>"VIA MARZABOTTO VICINO AL 42-"</f>
        <v>VIA MARZABOTTO VICINO AL 42-</v>
      </c>
      <c r="C280" t="str">
        <f t="shared" si="35"/>
        <v>1</v>
      </c>
      <c r="D280">
        <v>11</v>
      </c>
      <c r="E280" t="str">
        <f>"440"</f>
        <v>440</v>
      </c>
      <c r="F280" t="str">
        <f t="shared" si="33"/>
        <v>0000</v>
      </c>
    </row>
    <row r="281" spans="1:6">
      <c r="A281" t="str">
        <f>"T1023-26"</f>
        <v>T1023-26</v>
      </c>
      <c r="B281" t="str">
        <f>"VIA MARZABOTTO VICINO AL 42-"</f>
        <v>VIA MARZABOTTO VICINO AL 42-</v>
      </c>
      <c r="C281" t="str">
        <f t="shared" si="35"/>
        <v>1</v>
      </c>
      <c r="D281">
        <v>29</v>
      </c>
      <c r="E281" t="str">
        <f>"812"</f>
        <v>812</v>
      </c>
      <c r="F281" t="str">
        <f t="shared" si="33"/>
        <v>0000</v>
      </c>
    </row>
    <row r="282" spans="1:6">
      <c r="A282" t="str">
        <f>"T1024-2"</f>
        <v>T1024-2</v>
      </c>
      <c r="B282" t="str">
        <f>"SAL SAN FRANCESCO DA PAOL VICINO AL 49-"</f>
        <v>SAL SAN FRANCESCO DA PAOL VICINO AL 49-</v>
      </c>
      <c r="C282" t="str">
        <f t="shared" si="35"/>
        <v>1</v>
      </c>
      <c r="D282">
        <v>30</v>
      </c>
      <c r="E282" t="str">
        <f>"19"</f>
        <v>19</v>
      </c>
      <c r="F282" t="str">
        <f t="shared" si="33"/>
        <v>0000</v>
      </c>
    </row>
    <row r="283" spans="1:6">
      <c r="A283" t="str">
        <f>"T1024-4"</f>
        <v>T1024-4</v>
      </c>
      <c r="B283" t="str">
        <f>"SAL SAN FRANCESCO DA PAOL VICINO AL 49-"</f>
        <v>SAL SAN FRANCESCO DA PAOL VICINO AL 49-</v>
      </c>
      <c r="C283" t="str">
        <f t="shared" si="35"/>
        <v>1</v>
      </c>
      <c r="D283">
        <v>30</v>
      </c>
      <c r="E283" t="str">
        <f>"25"</f>
        <v>25</v>
      </c>
      <c r="F283" t="str">
        <f t="shared" si="33"/>
        <v>0000</v>
      </c>
    </row>
    <row r="284" spans="1:6">
      <c r="A284" t="str">
        <f>"T1033-1"</f>
        <v>T1033-1</v>
      </c>
      <c r="B284" t="str">
        <f>"VIA BARTOLOMEO BIANCO VICINO AL 172-"</f>
        <v>VIA BARTOLOMEO BIANCO VICINO AL 172-</v>
      </c>
      <c r="C284" t="str">
        <f t="shared" si="35"/>
        <v>1</v>
      </c>
      <c r="D284">
        <v>11</v>
      </c>
      <c r="E284" t="str">
        <f>"10"</f>
        <v>10</v>
      </c>
      <c r="F284" t="str">
        <f t="shared" si="33"/>
        <v>0000</v>
      </c>
    </row>
    <row r="285" spans="1:6">
      <c r="A285" t="str">
        <f>"T1033-2"</f>
        <v>T1033-2</v>
      </c>
      <c r="B285" t="str">
        <f>"VIA BARTOLOMEO BIANCO VICINO AL 172-"</f>
        <v>VIA BARTOLOMEO BIANCO VICINO AL 172-</v>
      </c>
      <c r="C285" t="str">
        <f t="shared" si="35"/>
        <v>1</v>
      </c>
      <c r="D285">
        <v>11</v>
      </c>
      <c r="E285" t="str">
        <f>"90"</f>
        <v>90</v>
      </c>
      <c r="F285" t="str">
        <f t="shared" si="33"/>
        <v>0000</v>
      </c>
    </row>
    <row r="286" spans="1:6">
      <c r="A286" t="str">
        <f>"T1033-3"</f>
        <v>T1033-3</v>
      </c>
      <c r="B286" t="str">
        <f>"VIA BARTOLOMEO BIANCO VICINO AL 172-"</f>
        <v>VIA BARTOLOMEO BIANCO VICINO AL 172-</v>
      </c>
      <c r="C286" t="str">
        <f t="shared" si="35"/>
        <v>1</v>
      </c>
      <c r="D286">
        <v>11</v>
      </c>
      <c r="E286" t="str">
        <f>"472"</f>
        <v>472</v>
      </c>
      <c r="F286" t="str">
        <f t="shared" si="33"/>
        <v>0000</v>
      </c>
    </row>
    <row r="287" spans="1:6">
      <c r="A287" t="str">
        <f>"T1069-1"</f>
        <v>T1069-1</v>
      </c>
      <c r="B287" t="str">
        <f t="shared" ref="B287:B318" si="36">"VIA ROBERT BADEN POWELL VICINO AL 7-"</f>
        <v>VIA ROBERT BADEN POWELL VICINO AL 7-</v>
      </c>
      <c r="C287" t="str">
        <f t="shared" ref="C287:C318" si="37">"4"</f>
        <v>4</v>
      </c>
      <c r="D287">
        <v>38</v>
      </c>
      <c r="E287" t="str">
        <f>"951"</f>
        <v>951</v>
      </c>
      <c r="F287" t="str">
        <f t="shared" si="33"/>
        <v>0000</v>
      </c>
    </row>
    <row r="288" spans="1:6">
      <c r="A288" t="str">
        <f>"T1069-2"</f>
        <v>T1069-2</v>
      </c>
      <c r="B288" t="str">
        <f t="shared" si="36"/>
        <v>VIA ROBERT BADEN POWELL VICINO AL 7-</v>
      </c>
      <c r="C288" t="str">
        <f t="shared" si="37"/>
        <v>4</v>
      </c>
      <c r="D288">
        <v>38</v>
      </c>
      <c r="E288" t="str">
        <f>"952"</f>
        <v>952</v>
      </c>
      <c r="F288" t="str">
        <f t="shared" si="33"/>
        <v>0000</v>
      </c>
    </row>
    <row r="289" spans="1:6">
      <c r="A289" t="str">
        <f>"T1069-3"</f>
        <v>T1069-3</v>
      </c>
      <c r="B289" t="str">
        <f t="shared" si="36"/>
        <v>VIA ROBERT BADEN POWELL VICINO AL 7-</v>
      </c>
      <c r="C289" t="str">
        <f t="shared" si="37"/>
        <v>4</v>
      </c>
      <c r="D289">
        <v>38</v>
      </c>
      <c r="E289" t="str">
        <f>"423"</f>
        <v>423</v>
      </c>
      <c r="F289" t="str">
        <f t="shared" si="33"/>
        <v>0000</v>
      </c>
    </row>
    <row r="290" spans="1:6">
      <c r="A290" t="str">
        <f>"T1069-4"</f>
        <v>T1069-4</v>
      </c>
      <c r="B290" t="str">
        <f t="shared" si="36"/>
        <v>VIA ROBERT BADEN POWELL VICINO AL 7-</v>
      </c>
      <c r="C290" t="str">
        <f t="shared" si="37"/>
        <v>4</v>
      </c>
      <c r="D290">
        <v>38</v>
      </c>
      <c r="E290" t="str">
        <f>"424"</f>
        <v>424</v>
      </c>
      <c r="F290" t="str">
        <f t="shared" si="33"/>
        <v>0000</v>
      </c>
    </row>
    <row r="291" spans="1:6">
      <c r="A291" t="str">
        <f>"T1069-5"</f>
        <v>T1069-5</v>
      </c>
      <c r="B291" t="str">
        <f t="shared" si="36"/>
        <v>VIA ROBERT BADEN POWELL VICINO AL 7-</v>
      </c>
      <c r="C291" t="str">
        <f t="shared" si="37"/>
        <v>4</v>
      </c>
      <c r="D291">
        <v>38</v>
      </c>
      <c r="E291" t="str">
        <f>"939"</f>
        <v>939</v>
      </c>
      <c r="F291" t="str">
        <f t="shared" si="33"/>
        <v>0000</v>
      </c>
    </row>
    <row r="292" spans="1:6">
      <c r="A292" t="str">
        <f>"T1069-6"</f>
        <v>T1069-6</v>
      </c>
      <c r="B292" t="str">
        <f t="shared" si="36"/>
        <v>VIA ROBERT BADEN POWELL VICINO AL 7-</v>
      </c>
      <c r="C292" t="str">
        <f t="shared" si="37"/>
        <v>4</v>
      </c>
      <c r="D292">
        <v>38</v>
      </c>
      <c r="E292" t="str">
        <f>"1020"</f>
        <v>1020</v>
      </c>
      <c r="F292" t="str">
        <f t="shared" si="33"/>
        <v>0000</v>
      </c>
    </row>
    <row r="293" spans="1:6">
      <c r="A293" t="str">
        <f>"T1069-7"</f>
        <v>T1069-7</v>
      </c>
      <c r="B293" t="str">
        <f t="shared" si="36"/>
        <v>VIA ROBERT BADEN POWELL VICINO AL 7-</v>
      </c>
      <c r="C293" t="str">
        <f t="shared" si="37"/>
        <v>4</v>
      </c>
      <c r="D293">
        <v>38</v>
      </c>
      <c r="E293" t="str">
        <f>"1021"</f>
        <v>1021</v>
      </c>
      <c r="F293" t="str">
        <f t="shared" si="33"/>
        <v>0000</v>
      </c>
    </row>
    <row r="294" spans="1:6">
      <c r="A294" t="str">
        <f>"T1069-8"</f>
        <v>T1069-8</v>
      </c>
      <c r="B294" t="str">
        <f t="shared" si="36"/>
        <v>VIA ROBERT BADEN POWELL VICINO AL 7-</v>
      </c>
      <c r="C294" t="str">
        <f t="shared" si="37"/>
        <v>4</v>
      </c>
      <c r="D294">
        <v>38</v>
      </c>
      <c r="E294" t="str">
        <f>"1008"</f>
        <v>1008</v>
      </c>
      <c r="F294" t="str">
        <f t="shared" si="33"/>
        <v>0000</v>
      </c>
    </row>
    <row r="295" spans="1:6">
      <c r="A295" t="str">
        <f>"T1069-9"</f>
        <v>T1069-9</v>
      </c>
      <c r="B295" t="str">
        <f t="shared" si="36"/>
        <v>VIA ROBERT BADEN POWELL VICINO AL 7-</v>
      </c>
      <c r="C295" t="str">
        <f t="shared" si="37"/>
        <v>4</v>
      </c>
      <c r="D295">
        <v>38</v>
      </c>
      <c r="E295" t="str">
        <f>"1006"</f>
        <v>1006</v>
      </c>
      <c r="F295" t="str">
        <f t="shared" si="33"/>
        <v>0000</v>
      </c>
    </row>
    <row r="296" spans="1:6">
      <c r="A296" t="str">
        <f>"T1069-10"</f>
        <v>T1069-10</v>
      </c>
      <c r="B296" t="str">
        <f t="shared" si="36"/>
        <v>VIA ROBERT BADEN POWELL VICINO AL 7-</v>
      </c>
      <c r="C296" t="str">
        <f t="shared" si="37"/>
        <v>4</v>
      </c>
      <c r="D296">
        <v>38</v>
      </c>
      <c r="E296" t="str">
        <f>"1009"</f>
        <v>1009</v>
      </c>
      <c r="F296" t="str">
        <f t="shared" si="33"/>
        <v>0000</v>
      </c>
    </row>
    <row r="297" spans="1:6">
      <c r="A297" t="str">
        <f>"T1069-11"</f>
        <v>T1069-11</v>
      </c>
      <c r="B297" t="str">
        <f t="shared" si="36"/>
        <v>VIA ROBERT BADEN POWELL VICINO AL 7-</v>
      </c>
      <c r="C297" t="str">
        <f t="shared" si="37"/>
        <v>4</v>
      </c>
      <c r="D297">
        <v>38</v>
      </c>
      <c r="E297" t="str">
        <f>"1019"</f>
        <v>1019</v>
      </c>
      <c r="F297" t="str">
        <f t="shared" si="33"/>
        <v>0000</v>
      </c>
    </row>
    <row r="298" spans="1:6">
      <c r="A298" t="str">
        <f>"T1069-12"</f>
        <v>T1069-12</v>
      </c>
      <c r="B298" t="str">
        <f t="shared" si="36"/>
        <v>VIA ROBERT BADEN POWELL VICINO AL 7-</v>
      </c>
      <c r="C298" t="str">
        <f t="shared" si="37"/>
        <v>4</v>
      </c>
      <c r="D298">
        <v>38</v>
      </c>
      <c r="E298" t="str">
        <f>"1012"</f>
        <v>1012</v>
      </c>
      <c r="F298" t="str">
        <f t="shared" si="33"/>
        <v>0000</v>
      </c>
    </row>
    <row r="299" spans="1:6">
      <c r="A299" t="str">
        <f>"T1069-13"</f>
        <v>T1069-13</v>
      </c>
      <c r="B299" t="str">
        <f t="shared" si="36"/>
        <v>VIA ROBERT BADEN POWELL VICINO AL 7-</v>
      </c>
      <c r="C299" t="str">
        <f t="shared" si="37"/>
        <v>4</v>
      </c>
      <c r="D299">
        <v>38</v>
      </c>
      <c r="E299" t="str">
        <f>"524"</f>
        <v>524</v>
      </c>
      <c r="F299" t="str">
        <f t="shared" si="33"/>
        <v>0000</v>
      </c>
    </row>
    <row r="300" spans="1:6">
      <c r="A300" t="str">
        <f>"T1069-14"</f>
        <v>T1069-14</v>
      </c>
      <c r="B300" t="str">
        <f t="shared" si="36"/>
        <v>VIA ROBERT BADEN POWELL VICINO AL 7-</v>
      </c>
      <c r="C300" t="str">
        <f t="shared" si="37"/>
        <v>4</v>
      </c>
      <c r="D300">
        <v>38</v>
      </c>
      <c r="E300" t="str">
        <f>"557"</f>
        <v>557</v>
      </c>
      <c r="F300" t="str">
        <f t="shared" si="33"/>
        <v>0000</v>
      </c>
    </row>
    <row r="301" spans="1:6">
      <c r="A301" t="str">
        <f>"T1069-15"</f>
        <v>T1069-15</v>
      </c>
      <c r="B301" t="str">
        <f t="shared" si="36"/>
        <v>VIA ROBERT BADEN POWELL VICINO AL 7-</v>
      </c>
      <c r="C301" t="str">
        <f t="shared" si="37"/>
        <v>4</v>
      </c>
      <c r="D301">
        <v>38</v>
      </c>
      <c r="E301" t="str">
        <f>"433"</f>
        <v>433</v>
      </c>
      <c r="F301" t="str">
        <f t="shared" si="33"/>
        <v>0000</v>
      </c>
    </row>
    <row r="302" spans="1:6">
      <c r="A302" t="str">
        <f>"T1069-16"</f>
        <v>T1069-16</v>
      </c>
      <c r="B302" t="str">
        <f t="shared" si="36"/>
        <v>VIA ROBERT BADEN POWELL VICINO AL 7-</v>
      </c>
      <c r="C302" t="str">
        <f t="shared" si="37"/>
        <v>4</v>
      </c>
      <c r="D302">
        <v>38</v>
      </c>
      <c r="E302" t="str">
        <f>"427"</f>
        <v>427</v>
      </c>
      <c r="F302" t="str">
        <f t="shared" si="33"/>
        <v>0000</v>
      </c>
    </row>
    <row r="303" spans="1:6">
      <c r="A303" t="str">
        <f>"T1069-17"</f>
        <v>T1069-17</v>
      </c>
      <c r="B303" t="str">
        <f t="shared" si="36"/>
        <v>VIA ROBERT BADEN POWELL VICINO AL 7-</v>
      </c>
      <c r="C303" t="str">
        <f t="shared" si="37"/>
        <v>4</v>
      </c>
      <c r="D303">
        <v>38</v>
      </c>
      <c r="E303" t="str">
        <f>"426"</f>
        <v>426</v>
      </c>
      <c r="F303" t="str">
        <f t="shared" si="33"/>
        <v>0000</v>
      </c>
    </row>
    <row r="304" spans="1:6">
      <c r="A304" t="str">
        <f>"T1069-18"</f>
        <v>T1069-18</v>
      </c>
      <c r="B304" t="str">
        <f t="shared" si="36"/>
        <v>VIA ROBERT BADEN POWELL VICINO AL 7-</v>
      </c>
      <c r="C304" t="str">
        <f t="shared" si="37"/>
        <v>4</v>
      </c>
      <c r="D304">
        <v>38</v>
      </c>
      <c r="E304" t="str">
        <f>"956"</f>
        <v>956</v>
      </c>
      <c r="F304" t="str">
        <f t="shared" si="33"/>
        <v>0000</v>
      </c>
    </row>
    <row r="305" spans="1:6">
      <c r="A305" t="str">
        <f>"T1069-19"</f>
        <v>T1069-19</v>
      </c>
      <c r="B305" t="str">
        <f t="shared" si="36"/>
        <v>VIA ROBERT BADEN POWELL VICINO AL 7-</v>
      </c>
      <c r="C305" t="str">
        <f t="shared" si="37"/>
        <v>4</v>
      </c>
      <c r="D305">
        <v>38</v>
      </c>
      <c r="E305" t="str">
        <f>"954"</f>
        <v>954</v>
      </c>
      <c r="F305" t="str">
        <f t="shared" si="33"/>
        <v>0000</v>
      </c>
    </row>
    <row r="306" spans="1:6">
      <c r="A306" t="str">
        <f>"T1069-20"</f>
        <v>T1069-20</v>
      </c>
      <c r="B306" t="str">
        <f t="shared" si="36"/>
        <v>VIA ROBERT BADEN POWELL VICINO AL 7-</v>
      </c>
      <c r="C306" t="str">
        <f t="shared" si="37"/>
        <v>4</v>
      </c>
      <c r="D306">
        <v>38</v>
      </c>
      <c r="E306" t="str">
        <f>"950"</f>
        <v>950</v>
      </c>
      <c r="F306" t="str">
        <f t="shared" si="33"/>
        <v>0000</v>
      </c>
    </row>
    <row r="307" spans="1:6">
      <c r="A307" t="str">
        <f>"T1069-21"</f>
        <v>T1069-21</v>
      </c>
      <c r="B307" t="str">
        <f t="shared" si="36"/>
        <v>VIA ROBERT BADEN POWELL VICINO AL 7-</v>
      </c>
      <c r="C307" t="str">
        <f t="shared" si="37"/>
        <v>4</v>
      </c>
      <c r="D307">
        <v>38</v>
      </c>
      <c r="E307" t="str">
        <f>"305"</f>
        <v>305</v>
      </c>
      <c r="F307" t="str">
        <f t="shared" si="33"/>
        <v>0000</v>
      </c>
    </row>
    <row r="308" spans="1:6">
      <c r="A308" t="str">
        <f>"T1069-22"</f>
        <v>T1069-22</v>
      </c>
      <c r="B308" t="str">
        <f t="shared" si="36"/>
        <v>VIA ROBERT BADEN POWELL VICINO AL 7-</v>
      </c>
      <c r="C308" t="str">
        <f t="shared" si="37"/>
        <v>4</v>
      </c>
      <c r="D308">
        <v>38</v>
      </c>
      <c r="E308" t="str">
        <f>"434"</f>
        <v>434</v>
      </c>
      <c r="F308" t="str">
        <f t="shared" si="33"/>
        <v>0000</v>
      </c>
    </row>
    <row r="309" spans="1:6">
      <c r="A309" t="str">
        <f>"T1069-23"</f>
        <v>T1069-23</v>
      </c>
      <c r="B309" t="str">
        <f t="shared" si="36"/>
        <v>VIA ROBERT BADEN POWELL VICINO AL 7-</v>
      </c>
      <c r="C309" t="str">
        <f t="shared" si="37"/>
        <v>4</v>
      </c>
      <c r="D309">
        <v>38</v>
      </c>
      <c r="E309" t="str">
        <f>"1007"</f>
        <v>1007</v>
      </c>
      <c r="F309" t="str">
        <f t="shared" si="33"/>
        <v>0000</v>
      </c>
    </row>
    <row r="310" spans="1:6">
      <c r="A310" t="str">
        <f>"T1069-24"</f>
        <v>T1069-24</v>
      </c>
      <c r="B310" t="str">
        <f t="shared" si="36"/>
        <v>VIA ROBERT BADEN POWELL VICINO AL 7-</v>
      </c>
      <c r="C310" t="str">
        <f t="shared" si="37"/>
        <v>4</v>
      </c>
      <c r="D310">
        <v>38</v>
      </c>
      <c r="E310" t="str">
        <f>"1010"</f>
        <v>1010</v>
      </c>
      <c r="F310" t="str">
        <f t="shared" si="33"/>
        <v>0000</v>
      </c>
    </row>
    <row r="311" spans="1:6">
      <c r="A311" t="str">
        <f>"T1069-25"</f>
        <v>T1069-25</v>
      </c>
      <c r="B311" t="str">
        <f t="shared" si="36"/>
        <v>VIA ROBERT BADEN POWELL VICINO AL 7-</v>
      </c>
      <c r="C311" t="str">
        <f t="shared" si="37"/>
        <v>4</v>
      </c>
      <c r="D311">
        <v>38</v>
      </c>
      <c r="E311" t="str">
        <f>"1015"</f>
        <v>1015</v>
      </c>
      <c r="F311" t="str">
        <f t="shared" si="33"/>
        <v>0000</v>
      </c>
    </row>
    <row r="312" spans="1:6">
      <c r="A312" t="str">
        <f>"T1069-26"</f>
        <v>T1069-26</v>
      </c>
      <c r="B312" t="str">
        <f t="shared" si="36"/>
        <v>VIA ROBERT BADEN POWELL VICINO AL 7-</v>
      </c>
      <c r="C312" t="str">
        <f t="shared" si="37"/>
        <v>4</v>
      </c>
      <c r="D312">
        <v>38</v>
      </c>
      <c r="E312" t="str">
        <f>"1014"</f>
        <v>1014</v>
      </c>
      <c r="F312" t="str">
        <f t="shared" si="33"/>
        <v>0000</v>
      </c>
    </row>
    <row r="313" spans="1:6">
      <c r="A313" t="str">
        <f>"T1069-27"</f>
        <v>T1069-27</v>
      </c>
      <c r="B313" t="str">
        <f t="shared" si="36"/>
        <v>VIA ROBERT BADEN POWELL VICINO AL 7-</v>
      </c>
      <c r="C313" t="str">
        <f t="shared" si="37"/>
        <v>4</v>
      </c>
      <c r="D313">
        <v>38</v>
      </c>
      <c r="E313" t="str">
        <f>"220"</f>
        <v>220</v>
      </c>
      <c r="F313" t="str">
        <f t="shared" si="33"/>
        <v>0000</v>
      </c>
    </row>
    <row r="314" spans="1:6">
      <c r="A314" t="str">
        <f>"T1069-28"</f>
        <v>T1069-28</v>
      </c>
      <c r="B314" t="str">
        <f t="shared" si="36"/>
        <v>VIA ROBERT BADEN POWELL VICINO AL 7-</v>
      </c>
      <c r="C314" t="str">
        <f t="shared" si="37"/>
        <v>4</v>
      </c>
      <c r="D314">
        <v>38</v>
      </c>
      <c r="E314" t="str">
        <f>"421"</f>
        <v>421</v>
      </c>
      <c r="F314" t="str">
        <f t="shared" si="33"/>
        <v>0000</v>
      </c>
    </row>
    <row r="315" spans="1:6">
      <c r="A315" t="str">
        <f>"T1069-29"</f>
        <v>T1069-29</v>
      </c>
      <c r="B315" t="str">
        <f t="shared" si="36"/>
        <v>VIA ROBERT BADEN POWELL VICINO AL 7-</v>
      </c>
      <c r="C315" t="str">
        <f t="shared" si="37"/>
        <v>4</v>
      </c>
      <c r="D315">
        <v>38</v>
      </c>
      <c r="E315" t="str">
        <f>"422"</f>
        <v>422</v>
      </c>
      <c r="F315" t="str">
        <f t="shared" si="33"/>
        <v>0000</v>
      </c>
    </row>
    <row r="316" spans="1:6">
      <c r="A316" t="str">
        <f>"T1069-30"</f>
        <v>T1069-30</v>
      </c>
      <c r="B316" t="str">
        <f t="shared" si="36"/>
        <v>VIA ROBERT BADEN POWELL VICINO AL 7-</v>
      </c>
      <c r="C316" t="str">
        <f t="shared" si="37"/>
        <v>4</v>
      </c>
      <c r="D316">
        <v>38</v>
      </c>
      <c r="E316" t="str">
        <f>"436"</f>
        <v>436</v>
      </c>
      <c r="F316" t="str">
        <f t="shared" si="33"/>
        <v>0000</v>
      </c>
    </row>
    <row r="317" spans="1:6">
      <c r="A317" t="str">
        <f>"T1069-31"</f>
        <v>T1069-31</v>
      </c>
      <c r="B317" t="str">
        <f t="shared" si="36"/>
        <v>VIA ROBERT BADEN POWELL VICINO AL 7-</v>
      </c>
      <c r="C317" t="str">
        <f t="shared" si="37"/>
        <v>4</v>
      </c>
      <c r="D317">
        <v>38</v>
      </c>
      <c r="E317" t="str">
        <f>"1022"</f>
        <v>1022</v>
      </c>
      <c r="F317" t="str">
        <f t="shared" ref="F317:F365" si="38">"0000"</f>
        <v>0000</v>
      </c>
    </row>
    <row r="318" spans="1:6">
      <c r="A318" t="str">
        <f>"T1069-32"</f>
        <v>T1069-32</v>
      </c>
      <c r="B318" t="str">
        <f t="shared" si="36"/>
        <v>VIA ROBERT BADEN POWELL VICINO AL 7-</v>
      </c>
      <c r="C318" t="str">
        <f t="shared" si="37"/>
        <v>4</v>
      </c>
      <c r="D318">
        <v>38</v>
      </c>
      <c r="E318" t="str">
        <f>"1018"</f>
        <v>1018</v>
      </c>
      <c r="F318" t="str">
        <f t="shared" si="38"/>
        <v>0000</v>
      </c>
    </row>
    <row r="319" spans="1:6">
      <c r="A319" t="str">
        <f>"T1069-33"</f>
        <v>T1069-33</v>
      </c>
      <c r="B319" t="str">
        <f t="shared" ref="B319:B345" si="39">"VIA ROBERT BADEN POWELL VICINO AL 7-"</f>
        <v>VIA ROBERT BADEN POWELL VICINO AL 7-</v>
      </c>
      <c r="C319" t="str">
        <f t="shared" ref="C319:C345" si="40">"4"</f>
        <v>4</v>
      </c>
      <c r="D319">
        <v>38</v>
      </c>
      <c r="E319" t="str">
        <f>"1013"</f>
        <v>1013</v>
      </c>
      <c r="F319" t="str">
        <f t="shared" si="38"/>
        <v>0000</v>
      </c>
    </row>
    <row r="320" spans="1:6">
      <c r="A320" t="str">
        <f>"T1069-34"</f>
        <v>T1069-34</v>
      </c>
      <c r="B320" t="str">
        <f t="shared" si="39"/>
        <v>VIA ROBERT BADEN POWELL VICINO AL 7-</v>
      </c>
      <c r="C320" t="str">
        <f t="shared" si="40"/>
        <v>4</v>
      </c>
      <c r="D320">
        <v>38</v>
      </c>
      <c r="E320" t="str">
        <f>"519"</f>
        <v>519</v>
      </c>
      <c r="F320" t="str">
        <f t="shared" si="38"/>
        <v>0000</v>
      </c>
    </row>
    <row r="321" spans="1:6">
      <c r="A321" t="str">
        <f>"T1069-35"</f>
        <v>T1069-35</v>
      </c>
      <c r="B321" t="str">
        <f t="shared" si="39"/>
        <v>VIA ROBERT BADEN POWELL VICINO AL 7-</v>
      </c>
      <c r="C321" t="str">
        <f t="shared" si="40"/>
        <v>4</v>
      </c>
      <c r="D321">
        <v>38</v>
      </c>
      <c r="E321" t="str">
        <f>"733"</f>
        <v>733</v>
      </c>
      <c r="F321" t="str">
        <f t="shared" si="38"/>
        <v>0000</v>
      </c>
    </row>
    <row r="322" spans="1:6">
      <c r="A322" t="str">
        <f>"T1069-36"</f>
        <v>T1069-36</v>
      </c>
      <c r="B322" t="str">
        <f t="shared" si="39"/>
        <v>VIA ROBERT BADEN POWELL VICINO AL 7-</v>
      </c>
      <c r="C322" t="str">
        <f t="shared" si="40"/>
        <v>4</v>
      </c>
      <c r="D322">
        <v>38</v>
      </c>
      <c r="E322" t="str">
        <f>"734"</f>
        <v>734</v>
      </c>
      <c r="F322" t="str">
        <f t="shared" si="38"/>
        <v>0000</v>
      </c>
    </row>
    <row r="323" spans="1:6">
      <c r="A323" t="str">
        <f>"T1069-37"</f>
        <v>T1069-37</v>
      </c>
      <c r="B323" t="str">
        <f t="shared" si="39"/>
        <v>VIA ROBERT BADEN POWELL VICINO AL 7-</v>
      </c>
      <c r="C323" t="str">
        <f t="shared" si="40"/>
        <v>4</v>
      </c>
      <c r="D323">
        <v>38</v>
      </c>
      <c r="E323" t="str">
        <f>"300"</f>
        <v>300</v>
      </c>
      <c r="F323" t="str">
        <f t="shared" si="38"/>
        <v>0000</v>
      </c>
    </row>
    <row r="324" spans="1:6">
      <c r="A324" t="str">
        <f>"T1069-38"</f>
        <v>T1069-38</v>
      </c>
      <c r="B324" t="str">
        <f t="shared" si="39"/>
        <v>VIA ROBERT BADEN POWELL VICINO AL 7-</v>
      </c>
      <c r="C324" t="str">
        <f t="shared" si="40"/>
        <v>4</v>
      </c>
      <c r="D324">
        <v>38</v>
      </c>
      <c r="E324" t="str">
        <f>"732"</f>
        <v>732</v>
      </c>
      <c r="F324" t="str">
        <f t="shared" si="38"/>
        <v>0000</v>
      </c>
    </row>
    <row r="325" spans="1:6">
      <c r="A325" t="str">
        <f>"T1069-39"</f>
        <v>T1069-39</v>
      </c>
      <c r="B325" t="str">
        <f t="shared" si="39"/>
        <v>VIA ROBERT BADEN POWELL VICINO AL 7-</v>
      </c>
      <c r="C325" t="str">
        <f t="shared" si="40"/>
        <v>4</v>
      </c>
      <c r="D325">
        <v>38</v>
      </c>
      <c r="E325" t="str">
        <f>"430"</f>
        <v>430</v>
      </c>
      <c r="F325" t="str">
        <f t="shared" si="38"/>
        <v>0000</v>
      </c>
    </row>
    <row r="326" spans="1:6">
      <c r="A326" t="str">
        <f>"T1069-40"</f>
        <v>T1069-40</v>
      </c>
      <c r="B326" t="str">
        <f t="shared" si="39"/>
        <v>VIA ROBERT BADEN POWELL VICINO AL 7-</v>
      </c>
      <c r="C326" t="str">
        <f t="shared" si="40"/>
        <v>4</v>
      </c>
      <c r="D326">
        <v>38</v>
      </c>
      <c r="E326" t="str">
        <f>"302"</f>
        <v>302</v>
      </c>
      <c r="F326" t="str">
        <f t="shared" si="38"/>
        <v>0000</v>
      </c>
    </row>
    <row r="327" spans="1:6">
      <c r="A327" t="str">
        <f>"T1069-41"</f>
        <v>T1069-41</v>
      </c>
      <c r="B327" t="str">
        <f t="shared" si="39"/>
        <v>VIA ROBERT BADEN POWELL VICINO AL 7-</v>
      </c>
      <c r="C327" t="str">
        <f t="shared" si="40"/>
        <v>4</v>
      </c>
      <c r="D327">
        <v>38</v>
      </c>
      <c r="E327" t="str">
        <f>"1011"</f>
        <v>1011</v>
      </c>
      <c r="F327" t="str">
        <f t="shared" si="38"/>
        <v>0000</v>
      </c>
    </row>
    <row r="328" spans="1:6">
      <c r="A328" t="str">
        <f>"T1069-42"</f>
        <v>T1069-42</v>
      </c>
      <c r="B328" t="str">
        <f t="shared" si="39"/>
        <v>VIA ROBERT BADEN POWELL VICINO AL 7-</v>
      </c>
      <c r="C328" t="str">
        <f t="shared" si="40"/>
        <v>4</v>
      </c>
      <c r="D328">
        <v>38</v>
      </c>
      <c r="E328" t="str">
        <f>"1016"</f>
        <v>1016</v>
      </c>
      <c r="F328" t="str">
        <f t="shared" si="38"/>
        <v>0000</v>
      </c>
    </row>
    <row r="329" spans="1:6">
      <c r="A329" t="str">
        <f>"T1069-43"</f>
        <v>T1069-43</v>
      </c>
      <c r="B329" t="str">
        <f t="shared" si="39"/>
        <v>VIA ROBERT BADEN POWELL VICINO AL 7-</v>
      </c>
      <c r="C329" t="str">
        <f t="shared" si="40"/>
        <v>4</v>
      </c>
      <c r="D329">
        <v>38</v>
      </c>
      <c r="E329" t="str">
        <f>"1017"</f>
        <v>1017</v>
      </c>
      <c r="F329" t="str">
        <f t="shared" si="38"/>
        <v>0000</v>
      </c>
    </row>
    <row r="330" spans="1:6">
      <c r="A330" t="str">
        <f>"T1069-44"</f>
        <v>T1069-44</v>
      </c>
      <c r="B330" t="str">
        <f t="shared" si="39"/>
        <v>VIA ROBERT BADEN POWELL VICINO AL 7-</v>
      </c>
      <c r="C330" t="str">
        <f t="shared" si="40"/>
        <v>4</v>
      </c>
      <c r="D330">
        <v>38</v>
      </c>
      <c r="E330" t="str">
        <f>"435"</f>
        <v>435</v>
      </c>
      <c r="F330" t="str">
        <f t="shared" si="38"/>
        <v>0000</v>
      </c>
    </row>
    <row r="331" spans="1:6">
      <c r="A331" t="str">
        <f>"T1069-45"</f>
        <v>T1069-45</v>
      </c>
      <c r="B331" t="str">
        <f t="shared" si="39"/>
        <v>VIA ROBERT BADEN POWELL VICINO AL 7-</v>
      </c>
      <c r="C331" t="str">
        <f t="shared" si="40"/>
        <v>4</v>
      </c>
      <c r="D331">
        <v>38</v>
      </c>
      <c r="E331" t="str">
        <f>"431"</f>
        <v>431</v>
      </c>
      <c r="F331" t="str">
        <f t="shared" si="38"/>
        <v>0000</v>
      </c>
    </row>
    <row r="332" spans="1:6">
      <c r="A332" t="str">
        <f>"T1069-46"</f>
        <v>T1069-46</v>
      </c>
      <c r="B332" t="str">
        <f t="shared" si="39"/>
        <v>VIA ROBERT BADEN POWELL VICINO AL 7-</v>
      </c>
      <c r="C332" t="str">
        <f t="shared" si="40"/>
        <v>4</v>
      </c>
      <c r="D332">
        <v>38</v>
      </c>
      <c r="E332" t="str">
        <f>"233"</f>
        <v>233</v>
      </c>
      <c r="F332" t="str">
        <f t="shared" si="38"/>
        <v>0000</v>
      </c>
    </row>
    <row r="333" spans="1:6">
      <c r="A333" t="str">
        <f>"T1069-47"</f>
        <v>T1069-47</v>
      </c>
      <c r="B333" t="str">
        <f t="shared" si="39"/>
        <v>VIA ROBERT BADEN POWELL VICINO AL 7-</v>
      </c>
      <c r="C333" t="str">
        <f t="shared" si="40"/>
        <v>4</v>
      </c>
      <c r="D333">
        <v>38</v>
      </c>
      <c r="E333" t="str">
        <f>"428"</f>
        <v>428</v>
      </c>
      <c r="F333" t="str">
        <f t="shared" si="38"/>
        <v>0000</v>
      </c>
    </row>
    <row r="334" spans="1:6">
      <c r="A334" t="str">
        <f>"T1069-48"</f>
        <v>T1069-48</v>
      </c>
      <c r="B334" t="str">
        <f t="shared" si="39"/>
        <v>VIA ROBERT BADEN POWELL VICINO AL 7-</v>
      </c>
      <c r="C334" t="str">
        <f t="shared" si="40"/>
        <v>4</v>
      </c>
      <c r="D334">
        <v>38</v>
      </c>
      <c r="E334" t="str">
        <f>"429"</f>
        <v>429</v>
      </c>
      <c r="F334" t="str">
        <f t="shared" si="38"/>
        <v>0000</v>
      </c>
    </row>
    <row r="335" spans="1:6">
      <c r="A335" t="str">
        <f>"T1069-49"</f>
        <v>T1069-49</v>
      </c>
      <c r="B335" t="str">
        <f t="shared" si="39"/>
        <v>VIA ROBERT BADEN POWELL VICINO AL 7-</v>
      </c>
      <c r="C335" t="str">
        <f t="shared" si="40"/>
        <v>4</v>
      </c>
      <c r="D335">
        <v>38</v>
      </c>
      <c r="E335" t="str">
        <f>"996"</f>
        <v>996</v>
      </c>
      <c r="F335" t="str">
        <f t="shared" si="38"/>
        <v>0000</v>
      </c>
    </row>
    <row r="336" spans="1:6">
      <c r="A336" t="str">
        <f>"T1069-50"</f>
        <v>T1069-50</v>
      </c>
      <c r="B336" t="str">
        <f t="shared" si="39"/>
        <v>VIA ROBERT BADEN POWELL VICINO AL 7-</v>
      </c>
      <c r="C336" t="str">
        <f t="shared" si="40"/>
        <v>4</v>
      </c>
      <c r="D336">
        <v>38</v>
      </c>
      <c r="E336" t="str">
        <f>"997"</f>
        <v>997</v>
      </c>
      <c r="F336" t="str">
        <f t="shared" si="38"/>
        <v>0000</v>
      </c>
    </row>
    <row r="337" spans="1:6">
      <c r="A337" t="str">
        <f>"T1069-51"</f>
        <v>T1069-51</v>
      </c>
      <c r="B337" t="str">
        <f t="shared" si="39"/>
        <v>VIA ROBERT BADEN POWELL VICINO AL 7-</v>
      </c>
      <c r="C337" t="str">
        <f t="shared" si="40"/>
        <v>4</v>
      </c>
      <c r="D337">
        <v>38</v>
      </c>
      <c r="E337" t="str">
        <f>"998"</f>
        <v>998</v>
      </c>
      <c r="F337" t="str">
        <f t="shared" si="38"/>
        <v>0000</v>
      </c>
    </row>
    <row r="338" spans="1:6">
      <c r="A338" t="str">
        <f>"T1069-52"</f>
        <v>T1069-52</v>
      </c>
      <c r="B338" t="str">
        <f t="shared" si="39"/>
        <v>VIA ROBERT BADEN POWELL VICINO AL 7-</v>
      </c>
      <c r="C338" t="str">
        <f t="shared" si="40"/>
        <v>4</v>
      </c>
      <c r="D338">
        <v>38</v>
      </c>
      <c r="E338" t="str">
        <f>"1000"</f>
        <v>1000</v>
      </c>
      <c r="F338" t="str">
        <f t="shared" si="38"/>
        <v>0000</v>
      </c>
    </row>
    <row r="339" spans="1:6">
      <c r="A339" t="str">
        <f>"T1069-53"</f>
        <v>T1069-53</v>
      </c>
      <c r="B339" t="str">
        <f t="shared" si="39"/>
        <v>VIA ROBERT BADEN POWELL VICINO AL 7-</v>
      </c>
      <c r="C339" t="str">
        <f t="shared" si="40"/>
        <v>4</v>
      </c>
      <c r="D339">
        <v>38</v>
      </c>
      <c r="E339" t="str">
        <f>"234"</f>
        <v>234</v>
      </c>
      <c r="F339" t="str">
        <f t="shared" si="38"/>
        <v>0000</v>
      </c>
    </row>
    <row r="340" spans="1:6">
      <c r="A340" t="str">
        <f>"T1069-55"</f>
        <v>T1069-55</v>
      </c>
      <c r="B340" t="str">
        <f t="shared" si="39"/>
        <v>VIA ROBERT BADEN POWELL VICINO AL 7-</v>
      </c>
      <c r="C340" t="str">
        <f t="shared" si="40"/>
        <v>4</v>
      </c>
      <c r="D340">
        <v>38</v>
      </c>
      <c r="E340" t="str">
        <f>"425"</f>
        <v>425</v>
      </c>
      <c r="F340" t="str">
        <f t="shared" si="38"/>
        <v>0000</v>
      </c>
    </row>
    <row r="341" spans="1:6">
      <c r="A341" t="str">
        <f>"T1069-56"</f>
        <v>T1069-56</v>
      </c>
      <c r="B341" t="str">
        <f t="shared" si="39"/>
        <v>VIA ROBERT BADEN POWELL VICINO AL 7-</v>
      </c>
      <c r="C341" t="str">
        <f t="shared" si="40"/>
        <v>4</v>
      </c>
      <c r="D341">
        <v>38</v>
      </c>
      <c r="E341" t="str">
        <f>"955"</f>
        <v>955</v>
      </c>
      <c r="F341" t="str">
        <f t="shared" si="38"/>
        <v>0000</v>
      </c>
    </row>
    <row r="342" spans="1:6">
      <c r="A342" t="str">
        <f>"T1069-57"</f>
        <v>T1069-57</v>
      </c>
      <c r="B342" t="str">
        <f t="shared" si="39"/>
        <v>VIA ROBERT BADEN POWELL VICINO AL 7-</v>
      </c>
      <c r="C342" t="str">
        <f t="shared" si="40"/>
        <v>4</v>
      </c>
      <c r="D342">
        <v>38</v>
      </c>
      <c r="E342" t="str">
        <f>"999"</f>
        <v>999</v>
      </c>
      <c r="F342" t="str">
        <f t="shared" si="38"/>
        <v>0000</v>
      </c>
    </row>
    <row r="343" spans="1:6">
      <c r="A343" t="str">
        <f>"T1069-58"</f>
        <v>T1069-58</v>
      </c>
      <c r="B343" t="str">
        <f t="shared" si="39"/>
        <v>VIA ROBERT BADEN POWELL VICINO AL 7-</v>
      </c>
      <c r="C343" t="str">
        <f t="shared" si="40"/>
        <v>4</v>
      </c>
      <c r="D343">
        <v>38</v>
      </c>
      <c r="E343" t="str">
        <f>"953"</f>
        <v>953</v>
      </c>
      <c r="F343" t="str">
        <f t="shared" si="38"/>
        <v>0000</v>
      </c>
    </row>
    <row r="344" spans="1:6">
      <c r="A344" t="str">
        <f>"T1069-59"</f>
        <v>T1069-59</v>
      </c>
      <c r="B344" t="str">
        <f t="shared" si="39"/>
        <v>VIA ROBERT BADEN POWELL VICINO AL 7-</v>
      </c>
      <c r="C344" t="str">
        <f t="shared" si="40"/>
        <v>4</v>
      </c>
      <c r="D344">
        <v>38</v>
      </c>
      <c r="E344" t="str">
        <f>"227"</f>
        <v>227</v>
      </c>
      <c r="F344" t="str">
        <f t="shared" si="38"/>
        <v>0000</v>
      </c>
    </row>
    <row r="345" spans="1:6">
      <c r="A345" t="str">
        <f>"T1069-60"</f>
        <v>T1069-60</v>
      </c>
      <c r="B345" t="str">
        <f t="shared" si="39"/>
        <v>VIA ROBERT BADEN POWELL VICINO AL 7-</v>
      </c>
      <c r="C345" t="str">
        <f t="shared" si="40"/>
        <v>4</v>
      </c>
      <c r="D345">
        <v>38</v>
      </c>
      <c r="E345" t="str">
        <f>"1005"</f>
        <v>1005</v>
      </c>
      <c r="F345" t="str">
        <f t="shared" si="38"/>
        <v>0000</v>
      </c>
    </row>
    <row r="346" spans="1:6">
      <c r="A346" t="str">
        <f>"T1079-1"</f>
        <v>T1079-1</v>
      </c>
      <c r="B346" t="str">
        <f>"VIA ASILO D.D.GARBARINO VICINO AL 35-"</f>
        <v>VIA ASILO D.D.GARBARINO VICINO AL 35-</v>
      </c>
      <c r="C346" t="str">
        <f t="shared" ref="C346:C362" si="41">"1"</f>
        <v>1</v>
      </c>
      <c r="D346">
        <v>30</v>
      </c>
      <c r="E346" t="str">
        <f>"10"</f>
        <v>10</v>
      </c>
      <c r="F346" t="str">
        <f t="shared" si="38"/>
        <v>0000</v>
      </c>
    </row>
    <row r="347" spans="1:6">
      <c r="A347" t="str">
        <f>"T1079-2"</f>
        <v>T1079-2</v>
      </c>
      <c r="B347" t="str">
        <f>"VIA ASILO D.D.GARBARINO VICINO AL 35-"</f>
        <v>VIA ASILO D.D.GARBARINO VICINO AL 35-</v>
      </c>
      <c r="C347" t="str">
        <f t="shared" si="41"/>
        <v>1</v>
      </c>
      <c r="D347">
        <v>30</v>
      </c>
      <c r="E347" t="str">
        <f>"16"</f>
        <v>16</v>
      </c>
      <c r="F347" t="str">
        <f t="shared" si="38"/>
        <v>0000</v>
      </c>
    </row>
    <row r="348" spans="1:6">
      <c r="A348" t="str">
        <f>"T1079-3"</f>
        <v>T1079-3</v>
      </c>
      <c r="B348" t="str">
        <f>"VIA ASILO D.D.GARBARINO VICINO AL 35-"</f>
        <v>VIA ASILO D.D.GARBARINO VICINO AL 35-</v>
      </c>
      <c r="C348" t="str">
        <f t="shared" si="41"/>
        <v>1</v>
      </c>
      <c r="D348">
        <v>30</v>
      </c>
      <c r="E348" t="str">
        <f>"54"</f>
        <v>54</v>
      </c>
      <c r="F348" t="str">
        <f t="shared" si="38"/>
        <v>0000</v>
      </c>
    </row>
    <row r="349" spans="1:6">
      <c r="A349" t="str">
        <f>"T1114-1"</f>
        <v>T1114-1</v>
      </c>
      <c r="B349" t="str">
        <f t="shared" ref="B349:B362" si="42">"VIA CADUTI SENZA CROCE VICINO AL 10-"</f>
        <v>VIA CADUTI SENZA CROCE VICINO AL 10-</v>
      </c>
      <c r="C349" t="str">
        <f t="shared" si="41"/>
        <v>1</v>
      </c>
      <c r="D349">
        <v>11</v>
      </c>
      <c r="E349" t="str">
        <f>"1079"</f>
        <v>1079</v>
      </c>
      <c r="F349" t="str">
        <f t="shared" si="38"/>
        <v>0000</v>
      </c>
    </row>
    <row r="350" spans="1:6">
      <c r="A350" t="str">
        <f>"T1114-2"</f>
        <v>T1114-2</v>
      </c>
      <c r="B350" t="str">
        <f t="shared" si="42"/>
        <v>VIA CADUTI SENZA CROCE VICINO AL 10-</v>
      </c>
      <c r="C350" t="str">
        <f t="shared" si="41"/>
        <v>1</v>
      </c>
      <c r="D350">
        <v>11</v>
      </c>
      <c r="E350" t="str">
        <f>"1076"</f>
        <v>1076</v>
      </c>
      <c r="F350" t="str">
        <f t="shared" si="38"/>
        <v>0000</v>
      </c>
    </row>
    <row r="351" spans="1:6">
      <c r="A351" t="str">
        <f>"T1114-3"</f>
        <v>T1114-3</v>
      </c>
      <c r="B351" t="str">
        <f t="shared" si="42"/>
        <v>VIA CADUTI SENZA CROCE VICINO AL 10-</v>
      </c>
      <c r="C351" t="str">
        <f t="shared" si="41"/>
        <v>1</v>
      </c>
      <c r="D351">
        <v>11</v>
      </c>
      <c r="E351" t="str">
        <f>"1087"</f>
        <v>1087</v>
      </c>
      <c r="F351" t="str">
        <f t="shared" si="38"/>
        <v>0000</v>
      </c>
    </row>
    <row r="352" spans="1:6">
      <c r="A352" t="str">
        <f>"T1114-4"</f>
        <v>T1114-4</v>
      </c>
      <c r="B352" t="str">
        <f t="shared" si="42"/>
        <v>VIA CADUTI SENZA CROCE VICINO AL 10-</v>
      </c>
      <c r="C352" t="str">
        <f t="shared" si="41"/>
        <v>1</v>
      </c>
      <c r="D352">
        <v>11</v>
      </c>
      <c r="E352" t="str">
        <f>"222"</f>
        <v>222</v>
      </c>
      <c r="F352" t="str">
        <f t="shared" si="38"/>
        <v>0000</v>
      </c>
    </row>
    <row r="353" spans="1:6">
      <c r="A353" t="str">
        <f>"T1114-5"</f>
        <v>T1114-5</v>
      </c>
      <c r="B353" t="str">
        <f t="shared" si="42"/>
        <v>VIA CADUTI SENZA CROCE VICINO AL 10-</v>
      </c>
      <c r="C353" t="str">
        <f t="shared" si="41"/>
        <v>1</v>
      </c>
      <c r="D353">
        <v>11</v>
      </c>
      <c r="E353" t="str">
        <f>"1092"</f>
        <v>1092</v>
      </c>
      <c r="F353" t="str">
        <f t="shared" si="38"/>
        <v>0000</v>
      </c>
    </row>
    <row r="354" spans="1:6">
      <c r="A354" t="str">
        <f>"T1114-6"</f>
        <v>T1114-6</v>
      </c>
      <c r="B354" t="str">
        <f t="shared" si="42"/>
        <v>VIA CADUTI SENZA CROCE VICINO AL 10-</v>
      </c>
      <c r="C354" t="str">
        <f t="shared" si="41"/>
        <v>1</v>
      </c>
      <c r="D354">
        <v>11</v>
      </c>
      <c r="E354" t="str">
        <f>"1091"</f>
        <v>1091</v>
      </c>
      <c r="F354" t="str">
        <f t="shared" si="38"/>
        <v>0000</v>
      </c>
    </row>
    <row r="355" spans="1:6">
      <c r="A355" t="str">
        <f>"T1114-7"</f>
        <v>T1114-7</v>
      </c>
      <c r="B355" t="str">
        <f t="shared" si="42"/>
        <v>VIA CADUTI SENZA CROCE VICINO AL 10-</v>
      </c>
      <c r="C355" t="str">
        <f t="shared" si="41"/>
        <v>1</v>
      </c>
      <c r="D355">
        <v>11</v>
      </c>
      <c r="E355" t="str">
        <f>"1088"</f>
        <v>1088</v>
      </c>
      <c r="F355" t="str">
        <f t="shared" si="38"/>
        <v>0000</v>
      </c>
    </row>
    <row r="356" spans="1:6">
      <c r="A356" t="str">
        <f>"T1114-8"</f>
        <v>T1114-8</v>
      </c>
      <c r="B356" t="str">
        <f t="shared" si="42"/>
        <v>VIA CADUTI SENZA CROCE VICINO AL 10-</v>
      </c>
      <c r="C356" t="str">
        <f t="shared" si="41"/>
        <v>1</v>
      </c>
      <c r="D356">
        <v>11</v>
      </c>
      <c r="E356" t="str">
        <f>"1090"</f>
        <v>1090</v>
      </c>
      <c r="F356" t="str">
        <f t="shared" si="38"/>
        <v>0000</v>
      </c>
    </row>
    <row r="357" spans="1:6">
      <c r="A357" t="str">
        <f>"T1114-9"</f>
        <v>T1114-9</v>
      </c>
      <c r="B357" t="str">
        <f t="shared" si="42"/>
        <v>VIA CADUTI SENZA CROCE VICINO AL 10-</v>
      </c>
      <c r="C357" t="str">
        <f t="shared" si="41"/>
        <v>1</v>
      </c>
      <c r="D357">
        <v>11</v>
      </c>
      <c r="E357" t="str">
        <f>"1089"</f>
        <v>1089</v>
      </c>
      <c r="F357" t="str">
        <f t="shared" si="38"/>
        <v>0000</v>
      </c>
    </row>
    <row r="358" spans="1:6">
      <c r="A358" t="str">
        <f>"T1114-10"</f>
        <v>T1114-10</v>
      </c>
      <c r="B358" t="str">
        <f t="shared" si="42"/>
        <v>VIA CADUTI SENZA CROCE VICINO AL 10-</v>
      </c>
      <c r="C358" t="str">
        <f t="shared" si="41"/>
        <v>1</v>
      </c>
      <c r="D358">
        <v>11</v>
      </c>
      <c r="E358" t="str">
        <f>"1078"</f>
        <v>1078</v>
      </c>
      <c r="F358" t="str">
        <f t="shared" si="38"/>
        <v>0000</v>
      </c>
    </row>
    <row r="359" spans="1:6">
      <c r="A359" t="str">
        <f>"T1114-11"</f>
        <v>T1114-11</v>
      </c>
      <c r="B359" t="str">
        <f t="shared" si="42"/>
        <v>VIA CADUTI SENZA CROCE VICINO AL 10-</v>
      </c>
      <c r="C359" t="str">
        <f t="shared" si="41"/>
        <v>1</v>
      </c>
      <c r="D359">
        <v>11</v>
      </c>
      <c r="E359" t="str">
        <f>"374"</f>
        <v>374</v>
      </c>
      <c r="F359" t="str">
        <f t="shared" si="38"/>
        <v>0000</v>
      </c>
    </row>
    <row r="360" spans="1:6">
      <c r="A360" t="str">
        <f>"T1114-12"</f>
        <v>T1114-12</v>
      </c>
      <c r="B360" t="str">
        <f t="shared" si="42"/>
        <v>VIA CADUTI SENZA CROCE VICINO AL 10-</v>
      </c>
      <c r="C360" t="str">
        <f t="shared" si="41"/>
        <v>1</v>
      </c>
      <c r="D360">
        <v>11</v>
      </c>
      <c r="E360" t="str">
        <f>"221"</f>
        <v>221</v>
      </c>
      <c r="F360" t="str">
        <f t="shared" si="38"/>
        <v>0000</v>
      </c>
    </row>
    <row r="361" spans="1:6">
      <c r="A361" t="str">
        <f>"T1114-13"</f>
        <v>T1114-13</v>
      </c>
      <c r="B361" t="str">
        <f t="shared" si="42"/>
        <v>VIA CADUTI SENZA CROCE VICINO AL 10-</v>
      </c>
      <c r="C361" t="str">
        <f t="shared" si="41"/>
        <v>1</v>
      </c>
      <c r="D361">
        <v>11</v>
      </c>
      <c r="E361" t="str">
        <f>"694"</f>
        <v>694</v>
      </c>
      <c r="F361" t="str">
        <f t="shared" si="38"/>
        <v>0000</v>
      </c>
    </row>
    <row r="362" spans="1:6">
      <c r="A362" t="str">
        <f>"T1114-14"</f>
        <v>T1114-14</v>
      </c>
      <c r="B362" t="str">
        <f t="shared" si="42"/>
        <v>VIA CADUTI SENZA CROCE VICINO AL 10-</v>
      </c>
      <c r="C362" t="str">
        <f t="shared" si="41"/>
        <v>1</v>
      </c>
      <c r="D362">
        <v>29</v>
      </c>
      <c r="E362" t="str">
        <f>"817"</f>
        <v>817</v>
      </c>
      <c r="F362" t="str">
        <f t="shared" si="38"/>
        <v>0000</v>
      </c>
    </row>
    <row r="363" spans="1:6">
      <c r="A363" t="str">
        <f>"T1144-1"</f>
        <v>T1144-1</v>
      </c>
      <c r="B363" t="str">
        <f>"SAL FORTE DELLA CROCETTA  19-"</f>
        <v>SAL FORTE DELLA CROCETTA  19-</v>
      </c>
      <c r="C363" t="str">
        <f>"4"</f>
        <v>4</v>
      </c>
      <c r="D363">
        <v>38</v>
      </c>
      <c r="E363" t="str">
        <f>"448"</f>
        <v>448</v>
      </c>
      <c r="F363" t="str">
        <f t="shared" si="38"/>
        <v>0000</v>
      </c>
    </row>
    <row r="364" spans="1:6">
      <c r="A364" t="str">
        <f>"T1145-1"</f>
        <v>T1145-1</v>
      </c>
      <c r="B364" t="str">
        <f>"VIA AL FORTE TENAGLIA VICINO AL 24-"</f>
        <v>VIA AL FORTE TENAGLIA VICINO AL 24-</v>
      </c>
      <c r="C364" t="str">
        <f>"4"</f>
        <v>4</v>
      </c>
      <c r="D364">
        <v>38</v>
      </c>
      <c r="E364" t="str">
        <f>"907"</f>
        <v>907</v>
      </c>
      <c r="F364" t="str">
        <f t="shared" si="38"/>
        <v>0000</v>
      </c>
    </row>
    <row r="365" spans="1:6">
      <c r="A365" t="str">
        <f>"T1148-1"</f>
        <v>T1148-1</v>
      </c>
      <c r="B365" t="str">
        <f>"VIA SAN PIER D ARENA  36-"</f>
        <v>VIA SAN PIER D ARENA  36-</v>
      </c>
      <c r="C365" t="str">
        <f>"SAM"</f>
        <v>SAM</v>
      </c>
      <c r="D365">
        <v>44</v>
      </c>
      <c r="E365" t="str">
        <f>"459"</f>
        <v>459</v>
      </c>
      <c r="F365" t="str">
        <f t="shared" si="38"/>
        <v>0000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7"/>
  <sheetViews>
    <sheetView workbookViewId="0">
      <selection sqref="A1:F1"/>
    </sheetView>
  </sheetViews>
  <sheetFormatPr defaultRowHeight="12.75"/>
  <cols>
    <col min="1" max="1" width="19.5703125" bestFit="1" customWidth="1"/>
    <col min="2" max="2" width="43.28515625" bestFit="1" customWidth="1"/>
    <col min="5" max="5" width="10" bestFit="1" customWidth="1"/>
  </cols>
  <sheetData>
    <row r="1" spans="1:6">
      <c r="A1" s="1" t="str">
        <f>"codice identificativo"</f>
        <v>codice identificativo</v>
      </c>
      <c r="B1" s="1" t="str">
        <f>"Indirizzo/Località"</f>
        <v>Indirizzo/Località</v>
      </c>
      <c r="C1" s="1" t="str">
        <f>"SEZIONE"</f>
        <v>SEZIONE</v>
      </c>
      <c r="D1" s="1" t="str">
        <f>"FOGLIO"</f>
        <v>FOGLIO</v>
      </c>
      <c r="E1" s="1" t="str">
        <f>"MAPPALE"</f>
        <v>MAPPALE</v>
      </c>
      <c r="F1" s="1" t="str">
        <f>"SUB"</f>
        <v>SUB</v>
      </c>
    </row>
    <row r="2" spans="1:6">
      <c r="A2" t="str">
        <f>"T61-1"</f>
        <v>T61-1</v>
      </c>
      <c r="B2" t="str">
        <f>"SALITA SUP DI SANTA TECLA VICINO AL 40-"</f>
        <v>SALITA SUP DI SANTA TECLA VICINO AL 40-</v>
      </c>
      <c r="C2" t="str">
        <f t="shared" ref="C2:C11" si="0">"1"</f>
        <v>1</v>
      </c>
      <c r="D2">
        <v>41</v>
      </c>
      <c r="E2" t="str">
        <f>"94"</f>
        <v>94</v>
      </c>
      <c r="F2" t="str">
        <f t="shared" ref="F2:F11" si="1">"0000"</f>
        <v>0000</v>
      </c>
    </row>
    <row r="3" spans="1:6">
      <c r="A3" t="str">
        <f>"T62-1"</f>
        <v>T62-1</v>
      </c>
      <c r="B3" t="str">
        <f>"VIA PASQUALE BERGHINI VICINO AL 181-"</f>
        <v>VIA PASQUALE BERGHINI VICINO AL 181-</v>
      </c>
      <c r="C3" t="str">
        <f t="shared" si="0"/>
        <v>1</v>
      </c>
      <c r="D3">
        <v>41</v>
      </c>
      <c r="E3" t="str">
        <f>"33"</f>
        <v>33</v>
      </c>
      <c r="F3" t="str">
        <f t="shared" si="1"/>
        <v>0000</v>
      </c>
    </row>
    <row r="4" spans="1:6">
      <c r="A4" t="str">
        <f>"T62-2"</f>
        <v>T62-2</v>
      </c>
      <c r="B4" t="str">
        <f>"VIA PASQUALE BERGHINI VICINO AL 181-"</f>
        <v>VIA PASQUALE BERGHINI VICINO AL 181-</v>
      </c>
      <c r="C4" t="str">
        <f t="shared" si="0"/>
        <v>1</v>
      </c>
      <c r="D4">
        <v>41</v>
      </c>
      <c r="E4" t="str">
        <f>"2"</f>
        <v>2</v>
      </c>
      <c r="F4" t="str">
        <f t="shared" si="1"/>
        <v>0000</v>
      </c>
    </row>
    <row r="5" spans="1:6">
      <c r="A5" t="str">
        <f>"T132-2"</f>
        <v>T132-2</v>
      </c>
      <c r="B5" t="str">
        <f>"VIA PASQUALE BERGHINI  1-"</f>
        <v>VIA PASQUALE BERGHINI  1-</v>
      </c>
      <c r="C5" t="str">
        <f t="shared" si="0"/>
        <v>1</v>
      </c>
      <c r="D5">
        <v>55</v>
      </c>
      <c r="E5" t="str">
        <f>"99999"</f>
        <v>99999</v>
      </c>
      <c r="F5" t="str">
        <f t="shared" si="1"/>
        <v>0000</v>
      </c>
    </row>
    <row r="6" spans="1:6">
      <c r="A6" t="str">
        <f>"T158-1"</f>
        <v>T158-1</v>
      </c>
      <c r="B6" t="str">
        <f>"VIA STEFANINA MORO VICINO AL 134-"</f>
        <v>VIA STEFANINA MORO VICINO AL 134-</v>
      </c>
      <c r="C6" t="str">
        <f t="shared" si="0"/>
        <v>1</v>
      </c>
      <c r="D6">
        <v>40</v>
      </c>
      <c r="E6" t="str">
        <f>"297"</f>
        <v>297</v>
      </c>
      <c r="F6" t="str">
        <f t="shared" si="1"/>
        <v>0000</v>
      </c>
    </row>
    <row r="7" spans="1:6">
      <c r="A7" t="str">
        <f>"T161-1"</f>
        <v>T161-1</v>
      </c>
      <c r="B7" t="str">
        <f>"VIA MONTELLO VICINO AL 2-"</f>
        <v>VIA MONTELLO VICINO AL 2-</v>
      </c>
      <c r="C7" t="str">
        <f t="shared" si="0"/>
        <v>1</v>
      </c>
      <c r="D7">
        <v>38</v>
      </c>
      <c r="E7" t="str">
        <f>"498"</f>
        <v>498</v>
      </c>
      <c r="F7" t="str">
        <f t="shared" si="1"/>
        <v>0000</v>
      </c>
    </row>
    <row r="8" spans="1:6">
      <c r="A8" t="str">
        <f>"T161-2"</f>
        <v>T161-2</v>
      </c>
      <c r="B8" t="str">
        <f>"VIA MONTELLO VICINO AL 2-"</f>
        <v>VIA MONTELLO VICINO AL 2-</v>
      </c>
      <c r="C8" t="str">
        <f t="shared" si="0"/>
        <v>1</v>
      </c>
      <c r="D8">
        <v>38</v>
      </c>
      <c r="E8" t="str">
        <f>"500"</f>
        <v>500</v>
      </c>
      <c r="F8" t="str">
        <f t="shared" si="1"/>
        <v>0000</v>
      </c>
    </row>
    <row r="9" spans="1:6">
      <c r="A9" t="str">
        <f>"T161-3"</f>
        <v>T161-3</v>
      </c>
      <c r="B9" t="str">
        <f>"VIA MONTELLO VICINO AL 2-"</f>
        <v>VIA MONTELLO VICINO AL 2-</v>
      </c>
      <c r="C9" t="str">
        <f t="shared" si="0"/>
        <v>1</v>
      </c>
      <c r="D9">
        <v>38</v>
      </c>
      <c r="E9" t="str">
        <f>"497"</f>
        <v>497</v>
      </c>
      <c r="F9" t="str">
        <f t="shared" si="1"/>
        <v>0000</v>
      </c>
    </row>
    <row r="10" spans="1:6">
      <c r="A10" t="str">
        <f>"T161-4"</f>
        <v>T161-4</v>
      </c>
      <c r="B10" t="str">
        <f>"VIA MONTELLO VICINO AL 2-"</f>
        <v>VIA MONTELLO VICINO AL 2-</v>
      </c>
      <c r="C10" t="str">
        <f t="shared" si="0"/>
        <v>1</v>
      </c>
      <c r="D10">
        <v>38</v>
      </c>
      <c r="E10" t="str">
        <f>"499"</f>
        <v>499</v>
      </c>
      <c r="F10" t="str">
        <f t="shared" si="1"/>
        <v>0000</v>
      </c>
    </row>
    <row r="11" spans="1:6">
      <c r="A11" t="str">
        <f>"T169-1"</f>
        <v>T169-1</v>
      </c>
      <c r="B11" t="str">
        <f>"VIA ARCHIMEDE VICINO AL 32-"</f>
        <v>VIA ARCHIMEDE VICINO AL 32-</v>
      </c>
      <c r="C11" t="str">
        <f t="shared" si="0"/>
        <v>1</v>
      </c>
      <c r="D11">
        <v>52</v>
      </c>
      <c r="E11" t="str">
        <f>"180"</f>
        <v>180</v>
      </c>
      <c r="F11" t="str">
        <f t="shared" si="1"/>
        <v>0000</v>
      </c>
    </row>
    <row r="12" spans="1:6">
      <c r="A12" t="str">
        <f>"T210-1"</f>
        <v>T210-1</v>
      </c>
      <c r="B12" t="str">
        <f>"SAL NVA NS SIGNORA MONTE VICINO AL 6-"</f>
        <v>SAL NVA NS SIGNORA MONTE VICINO AL 6-</v>
      </c>
      <c r="C12" t="str">
        <f>"GED"</f>
        <v>GED</v>
      </c>
      <c r="D12">
        <v>51</v>
      </c>
      <c r="E12" t="str">
        <f>"835"</f>
        <v>835</v>
      </c>
      <c r="F12" t="str">
        <f>"3"</f>
        <v>3</v>
      </c>
    </row>
    <row r="13" spans="1:6">
      <c r="A13" t="str">
        <f>"T211-1"</f>
        <v>T211-1</v>
      </c>
      <c r="B13" t="str">
        <f>"VIA GIOVANNI AMARENA VICINO AL 10-"</f>
        <v>VIA GIOVANNI AMARENA VICINO AL 10-</v>
      </c>
      <c r="C13" t="str">
        <f t="shared" ref="C13:C44" si="2">"1"</f>
        <v>1</v>
      </c>
      <c r="D13">
        <v>50</v>
      </c>
      <c r="E13" t="str">
        <f>"534"</f>
        <v>534</v>
      </c>
      <c r="F13" t="str">
        <f>"0000"</f>
        <v>0000</v>
      </c>
    </row>
    <row r="14" spans="1:6">
      <c r="A14" t="str">
        <f>"T211-2"</f>
        <v>T211-2</v>
      </c>
      <c r="B14" t="str">
        <f>"VIA GIOVANNI AMARENA VICINO AL 10-"</f>
        <v>VIA GIOVANNI AMARENA VICINO AL 10-</v>
      </c>
      <c r="C14" t="str">
        <f t="shared" si="2"/>
        <v>1</v>
      </c>
      <c r="D14">
        <v>50</v>
      </c>
      <c r="E14" t="str">
        <f>"479"</f>
        <v>479</v>
      </c>
      <c r="F14" t="str">
        <f>"0000"</f>
        <v>0000</v>
      </c>
    </row>
    <row r="15" spans="1:6">
      <c r="A15" t="str">
        <f>"T211-3"</f>
        <v>T211-3</v>
      </c>
      <c r="B15" t="str">
        <f>"VIA GIOVANNI AMARENA VICINO AL 10-"</f>
        <v>VIA GIOVANNI AMARENA VICINO AL 10-</v>
      </c>
      <c r="C15" t="str">
        <f t="shared" si="2"/>
        <v>1</v>
      </c>
      <c r="D15">
        <v>50</v>
      </c>
      <c r="E15" t="str">
        <f>"99999"</f>
        <v>99999</v>
      </c>
      <c r="F15" t="str">
        <f>"0000"</f>
        <v>0000</v>
      </c>
    </row>
    <row r="16" spans="1:6">
      <c r="A16" t="str">
        <f>"T212-1"</f>
        <v>T212-1</v>
      </c>
      <c r="B16" t="str">
        <f>"VIA SAN FRUTTUOSO  72-"</f>
        <v>VIA SAN FRUTTUOSO  72-</v>
      </c>
      <c r="C16" t="str">
        <f t="shared" si="2"/>
        <v>1</v>
      </c>
      <c r="D16">
        <v>53</v>
      </c>
      <c r="E16" t="str">
        <f>"845"</f>
        <v>845</v>
      </c>
      <c r="F16" t="str">
        <f>"0"</f>
        <v>0</v>
      </c>
    </row>
    <row r="17" spans="1:6">
      <c r="A17" t="str">
        <f>"T212-2"</f>
        <v>T212-2</v>
      </c>
      <c r="B17" t="str">
        <f>"VIA SAN FRUTTUOSO  72-"</f>
        <v>VIA SAN FRUTTUOSO  72-</v>
      </c>
      <c r="C17" t="str">
        <f t="shared" si="2"/>
        <v>1</v>
      </c>
      <c r="D17">
        <v>53</v>
      </c>
      <c r="E17" t="str">
        <f>"250"</f>
        <v>250</v>
      </c>
      <c r="F17" t="str">
        <f t="shared" ref="F17:F26" si="3">"0000"</f>
        <v>0000</v>
      </c>
    </row>
    <row r="18" spans="1:6">
      <c r="A18" t="str">
        <f>"T212-3"</f>
        <v>T212-3</v>
      </c>
      <c r="B18" t="str">
        <f>"VIA SAN FRUTTUOSO  72-"</f>
        <v>VIA SAN FRUTTUOSO  72-</v>
      </c>
      <c r="C18" t="str">
        <f t="shared" si="2"/>
        <v>1</v>
      </c>
      <c r="D18">
        <v>53</v>
      </c>
      <c r="E18" t="str">
        <f>"253"</f>
        <v>253</v>
      </c>
      <c r="F18" t="str">
        <f t="shared" si="3"/>
        <v>0000</v>
      </c>
    </row>
    <row r="19" spans="1:6">
      <c r="A19" t="str">
        <f>"T212-4"</f>
        <v>T212-4</v>
      </c>
      <c r="B19" t="str">
        <f>"VIA SAN FRUTTUOSO  72-"</f>
        <v>VIA SAN FRUTTUOSO  72-</v>
      </c>
      <c r="C19" t="str">
        <f t="shared" si="2"/>
        <v>1</v>
      </c>
      <c r="D19">
        <v>53</v>
      </c>
      <c r="E19" t="str">
        <f>"251"</f>
        <v>251</v>
      </c>
      <c r="F19" t="str">
        <f t="shared" si="3"/>
        <v>0000</v>
      </c>
    </row>
    <row r="20" spans="1:6">
      <c r="A20" t="str">
        <f>"T212-5"</f>
        <v>T212-5</v>
      </c>
      <c r="B20" t="str">
        <f>"VIA SAN FRUTTUOSO  72-"</f>
        <v>VIA SAN FRUTTUOSO  72-</v>
      </c>
      <c r="C20" t="str">
        <f t="shared" si="2"/>
        <v>1</v>
      </c>
      <c r="D20">
        <v>53</v>
      </c>
      <c r="E20" t="str">
        <f>"252"</f>
        <v>252</v>
      </c>
      <c r="F20" t="str">
        <f t="shared" si="3"/>
        <v>0000</v>
      </c>
    </row>
    <row r="21" spans="1:6">
      <c r="A21" t="str">
        <f>"T213-1"</f>
        <v>T213-1</v>
      </c>
      <c r="B21" t="str">
        <f>"CORSO MONTE GRAPPA VICINO AL 14-"</f>
        <v>CORSO MONTE GRAPPA VICINO AL 14-</v>
      </c>
      <c r="C21" t="str">
        <f t="shared" si="2"/>
        <v>1</v>
      </c>
      <c r="D21">
        <v>49</v>
      </c>
      <c r="E21" t="str">
        <f>"89"</f>
        <v>89</v>
      </c>
      <c r="F21" t="str">
        <f t="shared" si="3"/>
        <v>0000</v>
      </c>
    </row>
    <row r="22" spans="1:6">
      <c r="A22" t="str">
        <f>"T214-6"</f>
        <v>T214-6</v>
      </c>
      <c r="B22" t="str">
        <f t="shared" ref="B22:B31" si="4">"VIA DEL MONTE VICINO AL 52-"</f>
        <v>VIA DEL MONTE VICINO AL 52-</v>
      </c>
      <c r="C22" t="str">
        <f t="shared" si="2"/>
        <v>1</v>
      </c>
      <c r="D22">
        <v>40</v>
      </c>
      <c r="E22" t="str">
        <f>"1598"</f>
        <v>1598</v>
      </c>
      <c r="F22" t="str">
        <f t="shared" si="3"/>
        <v>0000</v>
      </c>
    </row>
    <row r="23" spans="1:6">
      <c r="A23" t="str">
        <f>"T214-8"</f>
        <v>T214-8</v>
      </c>
      <c r="B23" t="str">
        <f t="shared" si="4"/>
        <v>VIA DEL MONTE VICINO AL 52-</v>
      </c>
      <c r="C23" t="str">
        <f t="shared" si="2"/>
        <v>1</v>
      </c>
      <c r="D23">
        <v>40</v>
      </c>
      <c r="E23" t="str">
        <f>"1596"</f>
        <v>1596</v>
      </c>
      <c r="F23" t="str">
        <f t="shared" si="3"/>
        <v>0000</v>
      </c>
    </row>
    <row r="24" spans="1:6">
      <c r="A24" t="str">
        <f>"T214-11"</f>
        <v>T214-11</v>
      </c>
      <c r="B24" t="str">
        <f t="shared" si="4"/>
        <v>VIA DEL MONTE VICINO AL 52-</v>
      </c>
      <c r="C24" t="str">
        <f t="shared" si="2"/>
        <v>1</v>
      </c>
      <c r="D24">
        <v>40</v>
      </c>
      <c r="E24" t="str">
        <f>"1667"</f>
        <v>1667</v>
      </c>
      <c r="F24" t="str">
        <f t="shared" si="3"/>
        <v>0000</v>
      </c>
    </row>
    <row r="25" spans="1:6">
      <c r="A25" t="str">
        <f>"T214-13"</f>
        <v>T214-13</v>
      </c>
      <c r="B25" t="str">
        <f t="shared" si="4"/>
        <v>VIA DEL MONTE VICINO AL 52-</v>
      </c>
      <c r="C25" t="str">
        <f t="shared" si="2"/>
        <v>1</v>
      </c>
      <c r="D25">
        <v>40</v>
      </c>
      <c r="E25" t="str">
        <f>"1671"</f>
        <v>1671</v>
      </c>
      <c r="F25" t="str">
        <f t="shared" si="3"/>
        <v>0000</v>
      </c>
    </row>
    <row r="26" spans="1:6">
      <c r="A26" t="str">
        <f>"T214-15"</f>
        <v>T214-15</v>
      </c>
      <c r="B26" t="str">
        <f t="shared" si="4"/>
        <v>VIA DEL MONTE VICINO AL 52-</v>
      </c>
      <c r="C26" t="str">
        <f t="shared" si="2"/>
        <v>1</v>
      </c>
      <c r="D26">
        <v>40</v>
      </c>
      <c r="E26" t="str">
        <f>"1673"</f>
        <v>1673</v>
      </c>
      <c r="F26" t="str">
        <f t="shared" si="3"/>
        <v>0000</v>
      </c>
    </row>
    <row r="27" spans="1:6">
      <c r="A27" t="str">
        <f>"T214-17"</f>
        <v>T214-17</v>
      </c>
      <c r="B27" t="str">
        <f t="shared" si="4"/>
        <v>VIA DEL MONTE VICINO AL 52-</v>
      </c>
      <c r="C27" t="str">
        <f t="shared" si="2"/>
        <v>1</v>
      </c>
      <c r="D27">
        <v>40</v>
      </c>
      <c r="E27" t="str">
        <f>"1665"</f>
        <v>1665</v>
      </c>
      <c r="F27" t="str">
        <f>"000"</f>
        <v>000</v>
      </c>
    </row>
    <row r="28" spans="1:6">
      <c r="A28" t="str">
        <f>"T214-18"</f>
        <v>T214-18</v>
      </c>
      <c r="B28" t="str">
        <f t="shared" si="4"/>
        <v>VIA DEL MONTE VICINO AL 52-</v>
      </c>
      <c r="C28" t="str">
        <f t="shared" si="2"/>
        <v>1</v>
      </c>
      <c r="D28">
        <v>40</v>
      </c>
      <c r="E28" t="str">
        <f>"1600"</f>
        <v>1600</v>
      </c>
      <c r="F28" t="str">
        <f>"0000"</f>
        <v>0000</v>
      </c>
    </row>
    <row r="29" spans="1:6">
      <c r="A29" t="str">
        <f>"T214-19"</f>
        <v>T214-19</v>
      </c>
      <c r="B29" t="str">
        <f t="shared" si="4"/>
        <v>VIA DEL MONTE VICINO AL 52-</v>
      </c>
      <c r="C29" t="str">
        <f t="shared" si="2"/>
        <v>1</v>
      </c>
      <c r="D29">
        <v>40</v>
      </c>
      <c r="E29" t="str">
        <f>"1601"</f>
        <v>1601</v>
      </c>
      <c r="F29" t="str">
        <f>"0000"</f>
        <v>0000</v>
      </c>
    </row>
    <row r="30" spans="1:6">
      <c r="A30" t="str">
        <f>"T214-20"</f>
        <v>T214-20</v>
      </c>
      <c r="B30" t="str">
        <f t="shared" si="4"/>
        <v>VIA DEL MONTE VICINO AL 52-</v>
      </c>
      <c r="C30" t="str">
        <f t="shared" si="2"/>
        <v>1</v>
      </c>
      <c r="D30">
        <v>40</v>
      </c>
      <c r="E30" t="str">
        <f>"1675"</f>
        <v>1675</v>
      </c>
      <c r="F30" t="str">
        <f>"0000"</f>
        <v>0000</v>
      </c>
    </row>
    <row r="31" spans="1:6">
      <c r="A31" t="str">
        <f>"T214-21"</f>
        <v>T214-21</v>
      </c>
      <c r="B31" t="str">
        <f t="shared" si="4"/>
        <v>VIA DEL MONTE VICINO AL 52-</v>
      </c>
      <c r="C31" t="str">
        <f t="shared" si="2"/>
        <v>1</v>
      </c>
      <c r="D31">
        <v>40</v>
      </c>
      <c r="E31" t="str">
        <f>"1669"</f>
        <v>1669</v>
      </c>
      <c r="F31" t="str">
        <f>"000"</f>
        <v>000</v>
      </c>
    </row>
    <row r="32" spans="1:6">
      <c r="A32" t="str">
        <f>"T215-1"</f>
        <v>T215-1</v>
      </c>
      <c r="B32" t="str">
        <f>"VIA PIANDERLINO VICINO AL 9-"</f>
        <v>VIA PIANDERLINO VICINO AL 9-</v>
      </c>
      <c r="C32" t="str">
        <f t="shared" si="2"/>
        <v>1</v>
      </c>
      <c r="D32">
        <v>40</v>
      </c>
      <c r="E32" t="str">
        <f>"1597"</f>
        <v>1597</v>
      </c>
      <c r="F32" t="str">
        <f t="shared" ref="F32:F63" si="5">"0000"</f>
        <v>0000</v>
      </c>
    </row>
    <row r="33" spans="1:6">
      <c r="A33" t="str">
        <f>"T215-2"</f>
        <v>T215-2</v>
      </c>
      <c r="B33" t="str">
        <f>"VIA PIANDERLINO VICINO AL 9-"</f>
        <v>VIA PIANDERLINO VICINO AL 9-</v>
      </c>
      <c r="C33" t="str">
        <f t="shared" si="2"/>
        <v>1</v>
      </c>
      <c r="D33">
        <v>40</v>
      </c>
      <c r="E33" t="str">
        <f>"1020"</f>
        <v>1020</v>
      </c>
      <c r="F33" t="str">
        <f t="shared" si="5"/>
        <v>0000</v>
      </c>
    </row>
    <row r="34" spans="1:6">
      <c r="A34" t="str">
        <f>"T216-1"</f>
        <v>T216-1</v>
      </c>
      <c r="B34" t="str">
        <f>"VIA PASQUALE BERGHINI VICINO AL 33C-"</f>
        <v>VIA PASQUALE BERGHINI VICINO AL 33C-</v>
      </c>
      <c r="C34" t="str">
        <f t="shared" si="2"/>
        <v>1</v>
      </c>
      <c r="D34">
        <v>55</v>
      </c>
      <c r="E34" t="str">
        <f>"559"</f>
        <v>559</v>
      </c>
      <c r="F34" t="str">
        <f t="shared" si="5"/>
        <v>0000</v>
      </c>
    </row>
    <row r="35" spans="1:6">
      <c r="A35" t="str">
        <f>"T217-1"</f>
        <v>T217-1</v>
      </c>
      <c r="B35" t="str">
        <f>"VIA MONTELLO VICINO AL 14-"</f>
        <v>VIA MONTELLO VICINO AL 14-</v>
      </c>
      <c r="C35" t="str">
        <f t="shared" si="2"/>
        <v>1</v>
      </c>
      <c r="D35">
        <v>38</v>
      </c>
      <c r="E35" t="str">
        <f>"133"</f>
        <v>133</v>
      </c>
      <c r="F35" t="str">
        <f t="shared" si="5"/>
        <v>0000</v>
      </c>
    </row>
    <row r="36" spans="1:6">
      <c r="A36" t="str">
        <f>"T218-1"</f>
        <v>T218-1</v>
      </c>
      <c r="B36" t="str">
        <f>"VIA IMPERIALE VICINO AL 10-"</f>
        <v>VIA IMPERIALE VICINO AL 10-</v>
      </c>
      <c r="C36" t="str">
        <f t="shared" si="2"/>
        <v>1</v>
      </c>
      <c r="D36">
        <v>54</v>
      </c>
      <c r="E36" t="str">
        <f>"58"</f>
        <v>58</v>
      </c>
      <c r="F36" t="str">
        <f t="shared" si="5"/>
        <v>0000</v>
      </c>
    </row>
    <row r="37" spans="1:6">
      <c r="A37" t="str">
        <f>"T221-1"</f>
        <v>T221-1</v>
      </c>
      <c r="B37" t="str">
        <f>"VIA DONGHI VICINO AL 6-"</f>
        <v>VIA DONGHI VICINO AL 6-</v>
      </c>
      <c r="C37" t="str">
        <f t="shared" si="2"/>
        <v>1</v>
      </c>
      <c r="D37">
        <v>54</v>
      </c>
      <c r="E37" t="str">
        <f>"181"</f>
        <v>181</v>
      </c>
      <c r="F37" t="str">
        <f t="shared" si="5"/>
        <v>0000</v>
      </c>
    </row>
    <row r="38" spans="1:6">
      <c r="A38" t="str">
        <f>"T222-1"</f>
        <v>T222-1</v>
      </c>
      <c r="B38" t="str">
        <f>"VIA CANEVARI VICINO AL 44-"</f>
        <v>VIA CANEVARI VICINO AL 44-</v>
      </c>
      <c r="C38" t="str">
        <f t="shared" si="2"/>
        <v>1</v>
      </c>
      <c r="D38">
        <v>51</v>
      </c>
      <c r="E38" t="str">
        <f>"99999"</f>
        <v>99999</v>
      </c>
      <c r="F38" t="str">
        <f t="shared" si="5"/>
        <v>0000</v>
      </c>
    </row>
    <row r="39" spans="1:6">
      <c r="A39" t="str">
        <f>"T223-1"</f>
        <v>T223-1</v>
      </c>
      <c r="B39" t="str">
        <f>"VIA MONTELLO VICINO AL 13-"</f>
        <v>VIA MONTELLO VICINO AL 13-</v>
      </c>
      <c r="C39" t="str">
        <f t="shared" si="2"/>
        <v>1</v>
      </c>
      <c r="D39">
        <v>38</v>
      </c>
      <c r="E39" t="str">
        <f>"159"</f>
        <v>159</v>
      </c>
      <c r="F39" t="str">
        <f t="shared" si="5"/>
        <v>0000</v>
      </c>
    </row>
    <row r="40" spans="1:6">
      <c r="A40" t="str">
        <f>"T225-1"</f>
        <v>T225-1</v>
      </c>
      <c r="B40" t="str">
        <f>"VIA G B MARSANO VICINO AL 3-"</f>
        <v>VIA G B MARSANO VICINO AL 3-</v>
      </c>
      <c r="C40" t="str">
        <f t="shared" si="2"/>
        <v>1</v>
      </c>
      <c r="D40">
        <v>72</v>
      </c>
      <c r="E40" t="str">
        <f>"6"</f>
        <v>6</v>
      </c>
      <c r="F40" t="str">
        <f t="shared" si="5"/>
        <v>0000</v>
      </c>
    </row>
    <row r="41" spans="1:6">
      <c r="A41" t="str">
        <f>"T227-1"</f>
        <v>T227-1</v>
      </c>
      <c r="B41" t="str">
        <f t="shared" ref="B41:B48" si="6">"VIA PASQUALE BERGHINI VICINO AL 250-"</f>
        <v>VIA PASQUALE BERGHINI VICINO AL 250-</v>
      </c>
      <c r="C41" t="str">
        <f t="shared" si="2"/>
        <v>1</v>
      </c>
      <c r="D41">
        <v>25</v>
      </c>
      <c r="E41" t="str">
        <f>"321"</f>
        <v>321</v>
      </c>
      <c r="F41" t="str">
        <f t="shared" si="5"/>
        <v>0000</v>
      </c>
    </row>
    <row r="42" spans="1:6">
      <c r="A42" t="str">
        <f>"T227-2"</f>
        <v>T227-2</v>
      </c>
      <c r="B42" t="str">
        <f t="shared" si="6"/>
        <v>VIA PASQUALE BERGHINI VICINO AL 250-</v>
      </c>
      <c r="C42" t="str">
        <f t="shared" si="2"/>
        <v>1</v>
      </c>
      <c r="D42">
        <v>25</v>
      </c>
      <c r="E42" t="str">
        <f>"325"</f>
        <v>325</v>
      </c>
      <c r="F42" t="str">
        <f t="shared" si="5"/>
        <v>0000</v>
      </c>
    </row>
    <row r="43" spans="1:6">
      <c r="A43" t="str">
        <f>"T227-3"</f>
        <v>T227-3</v>
      </c>
      <c r="B43" t="str">
        <f t="shared" si="6"/>
        <v>VIA PASQUALE BERGHINI VICINO AL 250-</v>
      </c>
      <c r="C43" t="str">
        <f t="shared" si="2"/>
        <v>1</v>
      </c>
      <c r="D43">
        <v>25</v>
      </c>
      <c r="E43" t="str">
        <f>"438"</f>
        <v>438</v>
      </c>
      <c r="F43" t="str">
        <f t="shared" si="5"/>
        <v>0000</v>
      </c>
    </row>
    <row r="44" spans="1:6">
      <c r="A44" t="str">
        <f>"T227-4"</f>
        <v>T227-4</v>
      </c>
      <c r="B44" t="str">
        <f t="shared" si="6"/>
        <v>VIA PASQUALE BERGHINI VICINO AL 250-</v>
      </c>
      <c r="C44" t="str">
        <f t="shared" si="2"/>
        <v>1</v>
      </c>
      <c r="D44">
        <v>25</v>
      </c>
      <c r="E44" t="str">
        <f>"440"</f>
        <v>440</v>
      </c>
      <c r="F44" t="str">
        <f t="shared" si="5"/>
        <v>0000</v>
      </c>
    </row>
    <row r="45" spans="1:6">
      <c r="A45" t="str">
        <f>"T227-5"</f>
        <v>T227-5</v>
      </c>
      <c r="B45" t="str">
        <f t="shared" si="6"/>
        <v>VIA PASQUALE BERGHINI VICINO AL 250-</v>
      </c>
      <c r="C45" t="str">
        <f t="shared" ref="C45:C76" si="7">"1"</f>
        <v>1</v>
      </c>
      <c r="D45">
        <v>25</v>
      </c>
      <c r="E45" t="str">
        <f>"618"</f>
        <v>618</v>
      </c>
      <c r="F45" t="str">
        <f t="shared" si="5"/>
        <v>0000</v>
      </c>
    </row>
    <row r="46" spans="1:6">
      <c r="A46" t="str">
        <f>"T227-7"</f>
        <v>T227-7</v>
      </c>
      <c r="B46" t="str">
        <f t="shared" si="6"/>
        <v>VIA PASQUALE BERGHINI VICINO AL 250-</v>
      </c>
      <c r="C46" t="str">
        <f t="shared" si="7"/>
        <v>1</v>
      </c>
      <c r="D46">
        <v>25</v>
      </c>
      <c r="E46" t="str">
        <f>"770"</f>
        <v>770</v>
      </c>
      <c r="F46" t="str">
        <f t="shared" si="5"/>
        <v>0000</v>
      </c>
    </row>
    <row r="47" spans="1:6">
      <c r="A47" t="str">
        <f>"T227-8"</f>
        <v>T227-8</v>
      </c>
      <c r="B47" t="str">
        <f t="shared" si="6"/>
        <v>VIA PASQUALE BERGHINI VICINO AL 250-</v>
      </c>
      <c r="C47" t="str">
        <f t="shared" si="7"/>
        <v>1</v>
      </c>
      <c r="D47">
        <v>25</v>
      </c>
      <c r="E47" t="str">
        <f>"771"</f>
        <v>771</v>
      </c>
      <c r="F47" t="str">
        <f t="shared" si="5"/>
        <v>0000</v>
      </c>
    </row>
    <row r="48" spans="1:6">
      <c r="A48" t="str">
        <f>"T227-10"</f>
        <v>T227-10</v>
      </c>
      <c r="B48" t="str">
        <f t="shared" si="6"/>
        <v>VIA PASQUALE BERGHINI VICINO AL 250-</v>
      </c>
      <c r="C48" t="str">
        <f t="shared" si="7"/>
        <v>1</v>
      </c>
      <c r="D48">
        <v>25</v>
      </c>
      <c r="E48" t="str">
        <f>"917"</f>
        <v>917</v>
      </c>
      <c r="F48" t="str">
        <f t="shared" si="5"/>
        <v>0000</v>
      </c>
    </row>
    <row r="49" spans="1:6">
      <c r="A49" t="str">
        <f>"T228-1"</f>
        <v>T228-1</v>
      </c>
      <c r="B49" t="str">
        <f>"VIA PASQUALE BERGHINI VICINO AL 33C-"</f>
        <v>VIA PASQUALE BERGHINI VICINO AL 33C-</v>
      </c>
      <c r="C49" t="str">
        <f t="shared" si="7"/>
        <v>1</v>
      </c>
      <c r="D49">
        <v>55</v>
      </c>
      <c r="E49" t="str">
        <f>"412"</f>
        <v>412</v>
      </c>
      <c r="F49" t="str">
        <f t="shared" si="5"/>
        <v>0000</v>
      </c>
    </row>
    <row r="50" spans="1:6">
      <c r="A50" t="str">
        <f>"T229-1"</f>
        <v>T229-1</v>
      </c>
      <c r="B50" t="str">
        <f t="shared" ref="B50:B60" si="8">"VIA PASQUALE BERGHINI VICINO AL 115-"</f>
        <v>VIA PASQUALE BERGHINI VICINO AL 115-</v>
      </c>
      <c r="C50" t="str">
        <f t="shared" si="7"/>
        <v>1</v>
      </c>
      <c r="D50">
        <v>41</v>
      </c>
      <c r="E50" t="str">
        <f>"29"</f>
        <v>29</v>
      </c>
      <c r="F50" t="str">
        <f t="shared" si="5"/>
        <v>0000</v>
      </c>
    </row>
    <row r="51" spans="1:6">
      <c r="A51" t="str">
        <f>"T229-2"</f>
        <v>T229-2</v>
      </c>
      <c r="B51" t="str">
        <f t="shared" si="8"/>
        <v>VIA PASQUALE BERGHINI VICINO AL 115-</v>
      </c>
      <c r="C51" t="str">
        <f t="shared" si="7"/>
        <v>1</v>
      </c>
      <c r="D51">
        <v>41</v>
      </c>
      <c r="E51" t="str">
        <f>"31"</f>
        <v>31</v>
      </c>
      <c r="F51" t="str">
        <f t="shared" si="5"/>
        <v>0000</v>
      </c>
    </row>
    <row r="52" spans="1:6">
      <c r="A52" t="str">
        <f>"T229-3"</f>
        <v>T229-3</v>
      </c>
      <c r="B52" t="str">
        <f t="shared" si="8"/>
        <v>VIA PASQUALE BERGHINI VICINO AL 115-</v>
      </c>
      <c r="C52" t="str">
        <f t="shared" si="7"/>
        <v>1</v>
      </c>
      <c r="D52">
        <v>41</v>
      </c>
      <c r="E52" t="str">
        <f>"291"</f>
        <v>291</v>
      </c>
      <c r="F52" t="str">
        <f t="shared" si="5"/>
        <v>0000</v>
      </c>
    </row>
    <row r="53" spans="1:6">
      <c r="A53" t="str">
        <f>"T229-4"</f>
        <v>T229-4</v>
      </c>
      <c r="B53" t="str">
        <f t="shared" si="8"/>
        <v>VIA PASQUALE BERGHINI VICINO AL 115-</v>
      </c>
      <c r="C53" t="str">
        <f t="shared" si="7"/>
        <v>1</v>
      </c>
      <c r="D53">
        <v>41</v>
      </c>
      <c r="E53" t="str">
        <f>"292"</f>
        <v>292</v>
      </c>
      <c r="F53" t="str">
        <f t="shared" si="5"/>
        <v>0000</v>
      </c>
    </row>
    <row r="54" spans="1:6">
      <c r="A54" t="str">
        <f>"T229-5"</f>
        <v>T229-5</v>
      </c>
      <c r="B54" t="str">
        <f t="shared" si="8"/>
        <v>VIA PASQUALE BERGHINI VICINO AL 115-</v>
      </c>
      <c r="C54" t="str">
        <f t="shared" si="7"/>
        <v>1</v>
      </c>
      <c r="D54">
        <v>41</v>
      </c>
      <c r="E54" t="str">
        <f>"300"</f>
        <v>300</v>
      </c>
      <c r="F54" t="str">
        <f t="shared" si="5"/>
        <v>0000</v>
      </c>
    </row>
    <row r="55" spans="1:6">
      <c r="A55" t="str">
        <f>"T229-6"</f>
        <v>T229-6</v>
      </c>
      <c r="B55" t="str">
        <f t="shared" si="8"/>
        <v>VIA PASQUALE BERGHINI VICINO AL 115-</v>
      </c>
      <c r="C55" t="str">
        <f t="shared" si="7"/>
        <v>1</v>
      </c>
      <c r="D55">
        <v>41</v>
      </c>
      <c r="E55" t="str">
        <f>"302"</f>
        <v>302</v>
      </c>
      <c r="F55" t="str">
        <f t="shared" si="5"/>
        <v>0000</v>
      </c>
    </row>
    <row r="56" spans="1:6">
      <c r="A56" t="str">
        <f>"T229-7"</f>
        <v>T229-7</v>
      </c>
      <c r="B56" t="str">
        <f t="shared" si="8"/>
        <v>VIA PASQUALE BERGHINI VICINO AL 115-</v>
      </c>
      <c r="C56" t="str">
        <f t="shared" si="7"/>
        <v>1</v>
      </c>
      <c r="D56">
        <v>41</v>
      </c>
      <c r="E56" t="str">
        <f>"303"</f>
        <v>303</v>
      </c>
      <c r="F56" t="str">
        <f t="shared" si="5"/>
        <v>0000</v>
      </c>
    </row>
    <row r="57" spans="1:6">
      <c r="A57" t="str">
        <f>"T229-8"</f>
        <v>T229-8</v>
      </c>
      <c r="B57" t="str">
        <f t="shared" si="8"/>
        <v>VIA PASQUALE BERGHINI VICINO AL 115-</v>
      </c>
      <c r="C57" t="str">
        <f t="shared" si="7"/>
        <v>1</v>
      </c>
      <c r="D57">
        <v>41</v>
      </c>
      <c r="E57" t="str">
        <f>"313"</f>
        <v>313</v>
      </c>
      <c r="F57" t="str">
        <f t="shared" si="5"/>
        <v>0000</v>
      </c>
    </row>
    <row r="58" spans="1:6">
      <c r="A58" t="str">
        <f>"T229-9"</f>
        <v>T229-9</v>
      </c>
      <c r="B58" t="str">
        <f t="shared" si="8"/>
        <v>VIA PASQUALE BERGHINI VICINO AL 115-</v>
      </c>
      <c r="C58" t="str">
        <f t="shared" si="7"/>
        <v>1</v>
      </c>
      <c r="D58">
        <v>41</v>
      </c>
      <c r="E58" t="str">
        <f>"316"</f>
        <v>316</v>
      </c>
      <c r="F58" t="str">
        <f t="shared" si="5"/>
        <v>0000</v>
      </c>
    </row>
    <row r="59" spans="1:6">
      <c r="A59" t="str">
        <f>"T229-10"</f>
        <v>T229-10</v>
      </c>
      <c r="B59" t="str">
        <f t="shared" si="8"/>
        <v>VIA PASQUALE BERGHINI VICINO AL 115-</v>
      </c>
      <c r="C59" t="str">
        <f t="shared" si="7"/>
        <v>1</v>
      </c>
      <c r="D59">
        <v>41</v>
      </c>
      <c r="E59" t="str">
        <f>"317"</f>
        <v>317</v>
      </c>
      <c r="F59" t="str">
        <f t="shared" si="5"/>
        <v>0000</v>
      </c>
    </row>
    <row r="60" spans="1:6">
      <c r="A60" t="str">
        <f>"T229-11"</f>
        <v>T229-11</v>
      </c>
      <c r="B60" t="str">
        <f t="shared" si="8"/>
        <v>VIA PASQUALE BERGHINI VICINO AL 115-</v>
      </c>
      <c r="C60" t="str">
        <f t="shared" si="7"/>
        <v>1</v>
      </c>
      <c r="D60">
        <v>41</v>
      </c>
      <c r="E60" t="str">
        <f>"318"</f>
        <v>318</v>
      </c>
      <c r="F60" t="str">
        <f t="shared" si="5"/>
        <v>0000</v>
      </c>
    </row>
    <row r="61" spans="1:6">
      <c r="A61" t="str">
        <f>"T230-1"</f>
        <v>T230-1</v>
      </c>
      <c r="B61" t="str">
        <f>"VIA DEL MONTE VICINO AL 39-"</f>
        <v>VIA DEL MONTE VICINO AL 39-</v>
      </c>
      <c r="C61" t="str">
        <f t="shared" si="7"/>
        <v>1</v>
      </c>
      <c r="D61">
        <v>40</v>
      </c>
      <c r="E61" t="str">
        <f>"233"</f>
        <v>233</v>
      </c>
      <c r="F61" t="str">
        <f t="shared" si="5"/>
        <v>0000</v>
      </c>
    </row>
    <row r="62" spans="1:6">
      <c r="A62" t="str">
        <f>"T231-1"</f>
        <v>T231-1</v>
      </c>
      <c r="B62" t="str">
        <f>"VIA AYROLI VICINO AL 22-"</f>
        <v>VIA AYROLI VICINO AL 22-</v>
      </c>
      <c r="C62" t="str">
        <f t="shared" si="7"/>
        <v>1</v>
      </c>
      <c r="D62">
        <v>51</v>
      </c>
      <c r="E62" t="str">
        <f>"170"</f>
        <v>170</v>
      </c>
      <c r="F62" t="str">
        <f t="shared" si="5"/>
        <v>0000</v>
      </c>
    </row>
    <row r="63" spans="1:6">
      <c r="A63" t="str">
        <f>"T231-2"</f>
        <v>T231-2</v>
      </c>
      <c r="B63" t="str">
        <f>"VIA AYROLI VICINO AL 22-"</f>
        <v>VIA AYROLI VICINO AL 22-</v>
      </c>
      <c r="C63" t="str">
        <f t="shared" si="7"/>
        <v>1</v>
      </c>
      <c r="D63">
        <v>51</v>
      </c>
      <c r="E63" t="str">
        <f>"172"</f>
        <v>172</v>
      </c>
      <c r="F63" t="str">
        <f t="shared" si="5"/>
        <v>0000</v>
      </c>
    </row>
    <row r="64" spans="1:6">
      <c r="A64" t="str">
        <f>"T234-1"</f>
        <v>T234-1</v>
      </c>
      <c r="B64" t="str">
        <f>"VIA ALESSANDRO REPETTO VICINO AL 3A-"</f>
        <v>VIA ALESSANDRO REPETTO VICINO AL 3A-</v>
      </c>
      <c r="C64" t="str">
        <f t="shared" si="7"/>
        <v>1</v>
      </c>
      <c r="D64">
        <v>53</v>
      </c>
      <c r="E64" t="str">
        <f>"64"</f>
        <v>64</v>
      </c>
      <c r="F64" t="str">
        <f t="shared" ref="F64:F95" si="9">"0000"</f>
        <v>0000</v>
      </c>
    </row>
    <row r="65" spans="1:6">
      <c r="A65" t="str">
        <f>"T234-2"</f>
        <v>T234-2</v>
      </c>
      <c r="B65" t="str">
        <f>"VIA ALESSANDRO REPETTO VICINO AL 3A-"</f>
        <v>VIA ALESSANDRO REPETTO VICINO AL 3A-</v>
      </c>
      <c r="C65" t="str">
        <f t="shared" si="7"/>
        <v>1</v>
      </c>
      <c r="D65">
        <v>53</v>
      </c>
      <c r="E65" t="str">
        <f>"99999"</f>
        <v>99999</v>
      </c>
      <c r="F65" t="str">
        <f t="shared" si="9"/>
        <v>0000</v>
      </c>
    </row>
    <row r="66" spans="1:6">
      <c r="A66" t="str">
        <f>"T236-1"</f>
        <v>T236-1</v>
      </c>
      <c r="B66" t="str">
        <f>"VIA AURELIANO GALEAZZO VICINO AL 26-"</f>
        <v>VIA AURELIANO GALEAZZO VICINO AL 26-</v>
      </c>
      <c r="C66" t="str">
        <f t="shared" si="7"/>
        <v>1</v>
      </c>
      <c r="D66">
        <v>55</v>
      </c>
      <c r="E66" t="str">
        <f>"99999"</f>
        <v>99999</v>
      </c>
      <c r="F66" t="str">
        <f t="shared" si="9"/>
        <v>0000</v>
      </c>
    </row>
    <row r="67" spans="1:6">
      <c r="A67" t="str">
        <f>"T271-1"</f>
        <v>T271-1</v>
      </c>
      <c r="B67" t="str">
        <f>"VIA DONGHI VICINO AL 8-"</f>
        <v>VIA DONGHI VICINO AL 8-</v>
      </c>
      <c r="C67" t="str">
        <f t="shared" si="7"/>
        <v>1</v>
      </c>
      <c r="D67">
        <v>54</v>
      </c>
      <c r="E67" t="str">
        <f>"99999"</f>
        <v>99999</v>
      </c>
      <c r="F67" t="str">
        <f t="shared" si="9"/>
        <v>0000</v>
      </c>
    </row>
    <row r="68" spans="1:6">
      <c r="A68" t="str">
        <f>"T273-1"</f>
        <v>T273-1</v>
      </c>
      <c r="B68" t="str">
        <f>"VIALE CENTURIONE BRACELLI VICINO AL 59-"</f>
        <v>VIALE CENTURIONE BRACELLI VICINO AL 59-</v>
      </c>
      <c r="C68" t="str">
        <f t="shared" si="7"/>
        <v>1</v>
      </c>
      <c r="D68">
        <v>21</v>
      </c>
      <c r="E68" t="str">
        <f>"1135"</f>
        <v>1135</v>
      </c>
      <c r="F68" t="str">
        <f t="shared" si="9"/>
        <v>0000</v>
      </c>
    </row>
    <row r="69" spans="1:6">
      <c r="A69" t="str">
        <f>"T274-3"</f>
        <v>T274-3</v>
      </c>
      <c r="B69" t="str">
        <f>"VIA FRATELLI CERVI VICINO AL 1-"</f>
        <v>VIA FRATELLI CERVI VICINO AL 1-</v>
      </c>
      <c r="C69" t="str">
        <f t="shared" si="7"/>
        <v>1</v>
      </c>
      <c r="D69">
        <v>21</v>
      </c>
      <c r="E69" t="str">
        <f>"1591"</f>
        <v>1591</v>
      </c>
      <c r="F69" t="str">
        <f t="shared" si="9"/>
        <v>0000</v>
      </c>
    </row>
    <row r="70" spans="1:6">
      <c r="A70" t="str">
        <f>"T275-2"</f>
        <v>T275-2</v>
      </c>
      <c r="B70" t="str">
        <f>"VIALE CENTURIONE BRACELLI VICINO AL 59-"</f>
        <v>VIALE CENTURIONE BRACELLI VICINO AL 59-</v>
      </c>
      <c r="C70" t="str">
        <f t="shared" si="7"/>
        <v>1</v>
      </c>
      <c r="D70">
        <v>21</v>
      </c>
      <c r="E70" t="str">
        <f>"1133"</f>
        <v>1133</v>
      </c>
      <c r="F70" t="str">
        <f t="shared" si="9"/>
        <v>0000</v>
      </c>
    </row>
    <row r="71" spans="1:6">
      <c r="A71" t="str">
        <f>"T275-3"</f>
        <v>T275-3</v>
      </c>
      <c r="B71" t="str">
        <f>"VIALE CENTURIONE BRACELLI VICINO AL 59-"</f>
        <v>VIALE CENTURIONE BRACELLI VICINO AL 59-</v>
      </c>
      <c r="C71" t="str">
        <f t="shared" si="7"/>
        <v>1</v>
      </c>
      <c r="D71">
        <v>21</v>
      </c>
      <c r="E71" t="str">
        <f>"1134"</f>
        <v>1134</v>
      </c>
      <c r="F71" t="str">
        <f t="shared" si="9"/>
        <v>0000</v>
      </c>
    </row>
    <row r="72" spans="1:6">
      <c r="A72" t="str">
        <f>"T275-4"</f>
        <v>T275-4</v>
      </c>
      <c r="B72" t="str">
        <f>"VIALE CENTURIONE BRACELLI VICINO AL 59-"</f>
        <v>VIALE CENTURIONE BRACELLI VICINO AL 59-</v>
      </c>
      <c r="C72" t="str">
        <f t="shared" si="7"/>
        <v>1</v>
      </c>
      <c r="D72">
        <v>21</v>
      </c>
      <c r="E72" t="str">
        <f>"1132"</f>
        <v>1132</v>
      </c>
      <c r="F72" t="str">
        <f t="shared" si="9"/>
        <v>0000</v>
      </c>
    </row>
    <row r="73" spans="1:6">
      <c r="A73" t="str">
        <f>"T275-5"</f>
        <v>T275-5</v>
      </c>
      <c r="B73" t="str">
        <f>"VIALE CENTURIONE BRACELLI VICINO AL 59-"</f>
        <v>VIALE CENTURIONE BRACELLI VICINO AL 59-</v>
      </c>
      <c r="C73" t="str">
        <f t="shared" si="7"/>
        <v>1</v>
      </c>
      <c r="D73">
        <v>21</v>
      </c>
      <c r="E73" t="str">
        <f>"1131"</f>
        <v>1131</v>
      </c>
      <c r="F73" t="str">
        <f t="shared" si="9"/>
        <v>0000</v>
      </c>
    </row>
    <row r="74" spans="1:6">
      <c r="A74" t="str">
        <f>"T275-6"</f>
        <v>T275-6</v>
      </c>
      <c r="B74" t="str">
        <f>"VIALE CENTURIONE BRACELLI VICINO AL 59-"</f>
        <v>VIALE CENTURIONE BRACELLI VICINO AL 59-</v>
      </c>
      <c r="C74" t="str">
        <f t="shared" si="7"/>
        <v>1</v>
      </c>
      <c r="D74">
        <v>21</v>
      </c>
      <c r="E74" t="str">
        <f>"1130"</f>
        <v>1130</v>
      </c>
      <c r="F74" t="str">
        <f t="shared" si="9"/>
        <v>0000</v>
      </c>
    </row>
    <row r="75" spans="1:6">
      <c r="A75" t="str">
        <f>"T276-1"</f>
        <v>T276-1</v>
      </c>
      <c r="B75" t="str">
        <f>"SALITA COSTA DEI RATTI VICINO AL 6-"</f>
        <v>SALITA COSTA DEI RATTI VICINO AL 6-</v>
      </c>
      <c r="C75" t="str">
        <f t="shared" si="7"/>
        <v>1</v>
      </c>
      <c r="D75">
        <v>22</v>
      </c>
      <c r="E75" t="str">
        <f>"213"</f>
        <v>213</v>
      </c>
      <c r="F75" t="str">
        <f t="shared" si="9"/>
        <v>0000</v>
      </c>
    </row>
    <row r="76" spans="1:6">
      <c r="A76" t="str">
        <f>"T277-1"</f>
        <v>T277-1</v>
      </c>
      <c r="B76" t="str">
        <f>"VIA SUSANNA FONTANAROSSA VICINO AL 63-"</f>
        <v>VIA SUSANNA FONTANAROSSA VICINO AL 63-</v>
      </c>
      <c r="C76" t="str">
        <f t="shared" si="7"/>
        <v>1</v>
      </c>
      <c r="D76">
        <v>25</v>
      </c>
      <c r="E76" t="str">
        <f>"1432"</f>
        <v>1432</v>
      </c>
      <c r="F76" t="str">
        <f t="shared" si="9"/>
        <v>0000</v>
      </c>
    </row>
    <row r="77" spans="1:6">
      <c r="A77" t="str">
        <f>"T278-1"</f>
        <v>T278-1</v>
      </c>
      <c r="B77" t="str">
        <f>"VIA EGOLI VICINO AL 4-"</f>
        <v>VIA EGOLI VICINO AL 4-</v>
      </c>
      <c r="C77" t="str">
        <f t="shared" ref="C77:C108" si="10">"1"</f>
        <v>1</v>
      </c>
      <c r="D77">
        <v>24</v>
      </c>
      <c r="E77" t="str">
        <f>"285"</f>
        <v>285</v>
      </c>
      <c r="F77" t="str">
        <f t="shared" si="9"/>
        <v>0000</v>
      </c>
    </row>
    <row r="78" spans="1:6">
      <c r="A78" t="str">
        <f>"T279-1"</f>
        <v>T279-1</v>
      </c>
      <c r="B78" t="str">
        <f>"VIA GIOVANNI DANEO VICINO AL 117-"</f>
        <v>VIA GIOVANNI DANEO VICINO AL 117-</v>
      </c>
      <c r="C78" t="str">
        <f t="shared" si="10"/>
        <v>1</v>
      </c>
      <c r="D78">
        <v>25</v>
      </c>
      <c r="E78" t="str">
        <f>"1748"</f>
        <v>1748</v>
      </c>
      <c r="F78" t="str">
        <f t="shared" si="9"/>
        <v>0000</v>
      </c>
    </row>
    <row r="79" spans="1:6">
      <c r="A79" t="str">
        <f>"T279-2"</f>
        <v>T279-2</v>
      </c>
      <c r="B79" t="str">
        <f>"VIA GIOVANNI DANEO VICINO AL 117-"</f>
        <v>VIA GIOVANNI DANEO VICINO AL 117-</v>
      </c>
      <c r="C79" t="str">
        <f t="shared" si="10"/>
        <v>1</v>
      </c>
      <c r="D79">
        <v>25</v>
      </c>
      <c r="E79" t="str">
        <f>"7"</f>
        <v>7</v>
      </c>
      <c r="F79" t="str">
        <f t="shared" si="9"/>
        <v>0000</v>
      </c>
    </row>
    <row r="80" spans="1:6">
      <c r="A80" t="str">
        <f>"T279-3"</f>
        <v>T279-3</v>
      </c>
      <c r="B80" t="str">
        <f>"VIA GIOVANNI DANEO VICINO AL 117-"</f>
        <v>VIA GIOVANNI DANEO VICINO AL 117-</v>
      </c>
      <c r="C80" t="str">
        <f t="shared" si="10"/>
        <v>1</v>
      </c>
      <c r="D80">
        <v>25</v>
      </c>
      <c r="E80" t="str">
        <f>"1813"</f>
        <v>1813</v>
      </c>
      <c r="F80" t="str">
        <f t="shared" si="9"/>
        <v>0000</v>
      </c>
    </row>
    <row r="81" spans="1:6">
      <c r="A81" t="str">
        <f>"T279-4"</f>
        <v>T279-4</v>
      </c>
      <c r="B81" t="str">
        <f>"VIA GIOVANNI DANEO VICINO AL 117-"</f>
        <v>VIA GIOVANNI DANEO VICINO AL 117-</v>
      </c>
      <c r="C81" t="str">
        <f t="shared" si="10"/>
        <v>1</v>
      </c>
      <c r="D81">
        <v>25</v>
      </c>
      <c r="E81" t="str">
        <f>"1014"</f>
        <v>1014</v>
      </c>
      <c r="F81" t="str">
        <f t="shared" si="9"/>
        <v>0000</v>
      </c>
    </row>
    <row r="82" spans="1:6">
      <c r="A82" t="str">
        <f>"T280-1"</f>
        <v>T280-1</v>
      </c>
      <c r="B82" t="str">
        <f>"VIA CAGLIARI  1-"</f>
        <v>VIA CAGLIARI  1-</v>
      </c>
      <c r="C82" t="str">
        <f t="shared" si="10"/>
        <v>1</v>
      </c>
      <c r="D82">
        <v>51</v>
      </c>
      <c r="E82" t="str">
        <f>"436"</f>
        <v>436</v>
      </c>
      <c r="F82" t="str">
        <f t="shared" si="9"/>
        <v>0000</v>
      </c>
    </row>
    <row r="83" spans="1:6">
      <c r="A83" t="str">
        <f>"T281-1"</f>
        <v>T281-1</v>
      </c>
      <c r="B83" t="str">
        <f>"VIA CAGLIARI VICINO AL 1-"</f>
        <v>VIA CAGLIARI VICINO AL 1-</v>
      </c>
      <c r="C83" t="str">
        <f t="shared" si="10"/>
        <v>1</v>
      </c>
      <c r="D83">
        <v>51</v>
      </c>
      <c r="E83" t="str">
        <f>"896"</f>
        <v>896</v>
      </c>
      <c r="F83" t="str">
        <f t="shared" si="9"/>
        <v>0000</v>
      </c>
    </row>
    <row r="84" spans="1:6">
      <c r="A84" t="str">
        <f>"T282-1"</f>
        <v>T282-1</v>
      </c>
      <c r="B84" t="str">
        <f t="shared" ref="B84:B90" si="11">"VIA POLVERARA VICINO AL 9-"</f>
        <v>VIA POLVERARA VICINO AL 9-</v>
      </c>
      <c r="C84" t="str">
        <f t="shared" si="10"/>
        <v>1</v>
      </c>
      <c r="D84">
        <v>40</v>
      </c>
      <c r="E84" t="str">
        <f>"336"</f>
        <v>336</v>
      </c>
      <c r="F84" t="str">
        <f t="shared" si="9"/>
        <v>0000</v>
      </c>
    </row>
    <row r="85" spans="1:6">
      <c r="A85" t="str">
        <f>"T282-2"</f>
        <v>T282-2</v>
      </c>
      <c r="B85" t="str">
        <f t="shared" si="11"/>
        <v>VIA POLVERARA VICINO AL 9-</v>
      </c>
      <c r="C85" t="str">
        <f t="shared" si="10"/>
        <v>1</v>
      </c>
      <c r="D85">
        <v>40</v>
      </c>
      <c r="E85" t="str">
        <f>"338"</f>
        <v>338</v>
      </c>
      <c r="F85" t="str">
        <f t="shared" si="9"/>
        <v>0000</v>
      </c>
    </row>
    <row r="86" spans="1:6">
      <c r="A86" t="str">
        <f>"T282-3"</f>
        <v>T282-3</v>
      </c>
      <c r="B86" t="str">
        <f t="shared" si="11"/>
        <v>VIA POLVERARA VICINO AL 9-</v>
      </c>
      <c r="C86" t="str">
        <f t="shared" si="10"/>
        <v>1</v>
      </c>
      <c r="D86">
        <v>40</v>
      </c>
      <c r="E86" t="str">
        <f>"339"</f>
        <v>339</v>
      </c>
      <c r="F86" t="str">
        <f t="shared" si="9"/>
        <v>0000</v>
      </c>
    </row>
    <row r="87" spans="1:6">
      <c r="A87" t="str">
        <f>"T282-4"</f>
        <v>T282-4</v>
      </c>
      <c r="B87" t="str">
        <f t="shared" si="11"/>
        <v>VIA POLVERARA VICINO AL 9-</v>
      </c>
      <c r="C87" t="str">
        <f t="shared" si="10"/>
        <v>1</v>
      </c>
      <c r="D87">
        <v>40</v>
      </c>
      <c r="E87" t="str">
        <f>"340"</f>
        <v>340</v>
      </c>
      <c r="F87" t="str">
        <f t="shared" si="9"/>
        <v>0000</v>
      </c>
    </row>
    <row r="88" spans="1:6">
      <c r="A88" t="str">
        <f>"T282-5"</f>
        <v>T282-5</v>
      </c>
      <c r="B88" t="str">
        <f t="shared" si="11"/>
        <v>VIA POLVERARA VICINO AL 9-</v>
      </c>
      <c r="C88" t="str">
        <f t="shared" si="10"/>
        <v>1</v>
      </c>
      <c r="D88">
        <v>40</v>
      </c>
      <c r="E88" t="str">
        <f>"341"</f>
        <v>341</v>
      </c>
      <c r="F88" t="str">
        <f t="shared" si="9"/>
        <v>0000</v>
      </c>
    </row>
    <row r="89" spans="1:6">
      <c r="A89" t="str">
        <f>"T282-6"</f>
        <v>T282-6</v>
      </c>
      <c r="B89" t="str">
        <f t="shared" si="11"/>
        <v>VIA POLVERARA VICINO AL 9-</v>
      </c>
      <c r="C89" t="str">
        <f t="shared" si="10"/>
        <v>1</v>
      </c>
      <c r="D89">
        <v>40</v>
      </c>
      <c r="E89" t="str">
        <f>"420"</f>
        <v>420</v>
      </c>
      <c r="F89" t="str">
        <f t="shared" si="9"/>
        <v>0000</v>
      </c>
    </row>
    <row r="90" spans="1:6">
      <c r="A90" t="str">
        <f>"T282-7"</f>
        <v>T282-7</v>
      </c>
      <c r="B90" t="str">
        <f t="shared" si="11"/>
        <v>VIA POLVERARA VICINO AL 9-</v>
      </c>
      <c r="C90" t="str">
        <f t="shared" si="10"/>
        <v>1</v>
      </c>
      <c r="D90">
        <v>40</v>
      </c>
      <c r="E90" t="str">
        <f>"421"</f>
        <v>421</v>
      </c>
      <c r="F90" t="str">
        <f t="shared" si="9"/>
        <v>0000</v>
      </c>
    </row>
    <row r="91" spans="1:6">
      <c r="A91" t="str">
        <f>"T284-1"</f>
        <v>T284-1</v>
      </c>
      <c r="B91" t="str">
        <f>"SALITA FRANZONINA VICINO AL 4-"</f>
        <v>SALITA FRANZONINA VICINO AL 4-</v>
      </c>
      <c r="C91" t="str">
        <f t="shared" si="10"/>
        <v>1</v>
      </c>
      <c r="D91">
        <v>39</v>
      </c>
      <c r="E91" t="str">
        <f>"90"</f>
        <v>90</v>
      </c>
      <c r="F91" t="str">
        <f t="shared" si="9"/>
        <v>0000</v>
      </c>
    </row>
    <row r="92" spans="1:6">
      <c r="A92" t="str">
        <f>"T285-1"</f>
        <v>T285-1</v>
      </c>
      <c r="B92" t="str">
        <f>"PIAZZA GALILEO FERRARIS VICINO AL 3-"</f>
        <v>PIAZZA GALILEO FERRARIS VICINO AL 3-</v>
      </c>
      <c r="C92" t="str">
        <f t="shared" si="10"/>
        <v>1</v>
      </c>
      <c r="D92">
        <v>39</v>
      </c>
      <c r="E92" t="str">
        <f>"151"</f>
        <v>151</v>
      </c>
      <c r="F92" t="str">
        <f t="shared" si="9"/>
        <v>0000</v>
      </c>
    </row>
    <row r="93" spans="1:6">
      <c r="A93" t="str">
        <f>"T285-2"</f>
        <v>T285-2</v>
      </c>
      <c r="B93" t="str">
        <f>"PIAZZA GALILEO FERRARIS VICINO AL 3-"</f>
        <v>PIAZZA GALILEO FERRARIS VICINO AL 3-</v>
      </c>
      <c r="C93" t="str">
        <f t="shared" si="10"/>
        <v>1</v>
      </c>
      <c r="D93">
        <v>39</v>
      </c>
      <c r="E93" t="str">
        <f>"152"</f>
        <v>152</v>
      </c>
      <c r="F93" t="str">
        <f t="shared" si="9"/>
        <v>0000</v>
      </c>
    </row>
    <row r="94" spans="1:6">
      <c r="A94" t="str">
        <f>"T285-3"</f>
        <v>T285-3</v>
      </c>
      <c r="B94" t="str">
        <f>"PIAZZA GALILEO FERRARIS VICINO AL 3-"</f>
        <v>PIAZZA GALILEO FERRARIS VICINO AL 3-</v>
      </c>
      <c r="C94" t="str">
        <f t="shared" si="10"/>
        <v>1</v>
      </c>
      <c r="D94">
        <v>39</v>
      </c>
      <c r="E94" t="str">
        <f>"154"</f>
        <v>154</v>
      </c>
      <c r="F94" t="str">
        <f t="shared" si="9"/>
        <v>0000</v>
      </c>
    </row>
    <row r="95" spans="1:6">
      <c r="A95" t="str">
        <f>"T286-1"</f>
        <v>T286-1</v>
      </c>
      <c r="B95" t="str">
        <f>"SALITA DELL ORSO VICINO AL 10C-"</f>
        <v>SALITA DELL ORSO VICINO AL 10C-</v>
      </c>
      <c r="C95" t="str">
        <f t="shared" si="10"/>
        <v>1</v>
      </c>
      <c r="D95">
        <v>50</v>
      </c>
      <c r="E95" t="str">
        <f>"99999"</f>
        <v>99999</v>
      </c>
      <c r="F95" t="str">
        <f t="shared" si="9"/>
        <v>0000</v>
      </c>
    </row>
    <row r="96" spans="1:6">
      <c r="A96" t="str">
        <f>"T287-1"</f>
        <v>T287-1</v>
      </c>
      <c r="B96" t="str">
        <f>"VIA DEL CASTORO VICINO AL 1-"</f>
        <v>VIA DEL CASTORO VICINO AL 1-</v>
      </c>
      <c r="C96" t="str">
        <f t="shared" si="10"/>
        <v>1</v>
      </c>
      <c r="D96">
        <v>38</v>
      </c>
      <c r="E96" t="str">
        <f>"315"</f>
        <v>315</v>
      </c>
      <c r="F96" t="str">
        <f t="shared" ref="F96:F127" si="12">"0000"</f>
        <v>0000</v>
      </c>
    </row>
    <row r="97" spans="1:6">
      <c r="A97" t="str">
        <f>"T289-1"</f>
        <v>T289-1</v>
      </c>
      <c r="B97" t="str">
        <f>"P.ZA FRANCESCO GUICCIARDI VICINO AL 4-"</f>
        <v>P.ZA FRANCESCO GUICCIARDI VICINO AL 4-</v>
      </c>
      <c r="C97" t="str">
        <f t="shared" si="10"/>
        <v>1</v>
      </c>
      <c r="D97">
        <v>21</v>
      </c>
      <c r="E97" t="str">
        <f>"524"</f>
        <v>524</v>
      </c>
      <c r="F97" t="str">
        <f t="shared" si="12"/>
        <v>0000</v>
      </c>
    </row>
    <row r="98" spans="1:6">
      <c r="A98" t="str">
        <f>"T289-2"</f>
        <v>T289-2</v>
      </c>
      <c r="B98" t="str">
        <f>"P.ZA FRANCESCO GUICCIARDI VICINO AL 4-"</f>
        <v>P.ZA FRANCESCO GUICCIARDI VICINO AL 4-</v>
      </c>
      <c r="C98" t="str">
        <f t="shared" si="10"/>
        <v>1</v>
      </c>
      <c r="D98">
        <v>21</v>
      </c>
      <c r="E98" t="str">
        <f>"523"</f>
        <v>523</v>
      </c>
      <c r="F98" t="str">
        <f t="shared" si="12"/>
        <v>0000</v>
      </c>
    </row>
    <row r="99" spans="1:6">
      <c r="A99" t="str">
        <f>"T289-3"</f>
        <v>T289-3</v>
      </c>
      <c r="B99" t="str">
        <f>"P.ZA FRANCESCO GUICCIARDI VICINO AL 4-"</f>
        <v>P.ZA FRANCESCO GUICCIARDI VICINO AL 4-</v>
      </c>
      <c r="C99" t="str">
        <f t="shared" si="10"/>
        <v>1</v>
      </c>
      <c r="D99">
        <v>21</v>
      </c>
      <c r="E99" t="str">
        <f>"1254"</f>
        <v>1254</v>
      </c>
      <c r="F99" t="str">
        <f t="shared" si="12"/>
        <v>0000</v>
      </c>
    </row>
    <row r="100" spans="1:6">
      <c r="A100" t="str">
        <f>"T289-4"</f>
        <v>T289-4</v>
      </c>
      <c r="B100" t="str">
        <f>"P.ZA FRANCESCO GUICCIARDI VICINO AL 4-"</f>
        <v>P.ZA FRANCESCO GUICCIARDI VICINO AL 4-</v>
      </c>
      <c r="C100" t="str">
        <f t="shared" si="10"/>
        <v>1</v>
      </c>
      <c r="D100">
        <v>21</v>
      </c>
      <c r="E100" t="str">
        <f>"1255"</f>
        <v>1255</v>
      </c>
      <c r="F100" t="str">
        <f t="shared" si="12"/>
        <v>0000</v>
      </c>
    </row>
    <row r="101" spans="1:6">
      <c r="A101" t="str">
        <f>"T290-1"</f>
        <v>T290-1</v>
      </c>
      <c r="B101" t="str">
        <f>"SALITA DELL ORSO VICINO AL 130R-"</f>
        <v>SALITA DELL ORSO VICINO AL 130R-</v>
      </c>
      <c r="C101" t="str">
        <f t="shared" si="10"/>
        <v>1</v>
      </c>
      <c r="D101">
        <v>40</v>
      </c>
      <c r="E101" t="str">
        <f>"702"</f>
        <v>702</v>
      </c>
      <c r="F101" t="str">
        <f t="shared" si="12"/>
        <v>0000</v>
      </c>
    </row>
    <row r="102" spans="1:6">
      <c r="A102" t="str">
        <f>"T290-2"</f>
        <v>T290-2</v>
      </c>
      <c r="B102" t="str">
        <f>"SALITA DELL ORSO VICINO AL 130R-"</f>
        <v>SALITA DELL ORSO VICINO AL 130R-</v>
      </c>
      <c r="C102" t="str">
        <f t="shared" si="10"/>
        <v>1</v>
      </c>
      <c r="D102">
        <v>40</v>
      </c>
      <c r="E102" t="str">
        <f>"99999"</f>
        <v>99999</v>
      </c>
      <c r="F102" t="str">
        <f t="shared" si="12"/>
        <v>0000</v>
      </c>
    </row>
    <row r="103" spans="1:6">
      <c r="A103" t="str">
        <f>"T291-1"</f>
        <v>T291-1</v>
      </c>
      <c r="B103" t="str">
        <f t="shared" ref="B103:B108" si="13">"VIA PAOLO  MAGRETTI VICINO AL 2-"</f>
        <v>VIA PAOLO  MAGRETTI VICINO AL 2-</v>
      </c>
      <c r="C103" t="str">
        <f t="shared" si="10"/>
        <v>1</v>
      </c>
      <c r="D103">
        <v>21</v>
      </c>
      <c r="E103" t="str">
        <f>"415"</f>
        <v>415</v>
      </c>
      <c r="F103" t="str">
        <f t="shared" si="12"/>
        <v>0000</v>
      </c>
    </row>
    <row r="104" spans="1:6">
      <c r="A104" t="str">
        <f>"T291-2"</f>
        <v>T291-2</v>
      </c>
      <c r="B104" t="str">
        <f t="shared" si="13"/>
        <v>VIA PAOLO  MAGRETTI VICINO AL 2-</v>
      </c>
      <c r="C104" t="str">
        <f t="shared" si="10"/>
        <v>1</v>
      </c>
      <c r="D104">
        <v>21</v>
      </c>
      <c r="E104" t="str">
        <f>"672"</f>
        <v>672</v>
      </c>
      <c r="F104" t="str">
        <f t="shared" si="12"/>
        <v>0000</v>
      </c>
    </row>
    <row r="105" spans="1:6">
      <c r="A105" t="str">
        <f>"T291-3"</f>
        <v>T291-3</v>
      </c>
      <c r="B105" t="str">
        <f t="shared" si="13"/>
        <v>VIA PAOLO  MAGRETTI VICINO AL 2-</v>
      </c>
      <c r="C105" t="str">
        <f t="shared" si="10"/>
        <v>1</v>
      </c>
      <c r="D105">
        <v>21</v>
      </c>
      <c r="E105" t="str">
        <f>"1175"</f>
        <v>1175</v>
      </c>
      <c r="F105" t="str">
        <f t="shared" si="12"/>
        <v>0000</v>
      </c>
    </row>
    <row r="106" spans="1:6">
      <c r="A106" t="str">
        <f>"T291-4"</f>
        <v>T291-4</v>
      </c>
      <c r="B106" t="str">
        <f t="shared" si="13"/>
        <v>VIA PAOLO  MAGRETTI VICINO AL 2-</v>
      </c>
      <c r="C106" t="str">
        <f t="shared" si="10"/>
        <v>1</v>
      </c>
      <c r="D106">
        <v>21</v>
      </c>
      <c r="E106" t="str">
        <f>"671"</f>
        <v>671</v>
      </c>
      <c r="F106" t="str">
        <f t="shared" si="12"/>
        <v>0000</v>
      </c>
    </row>
    <row r="107" spans="1:6">
      <c r="A107" t="str">
        <f>"T291-5"</f>
        <v>T291-5</v>
      </c>
      <c r="B107" t="str">
        <f t="shared" si="13"/>
        <v>VIA PAOLO  MAGRETTI VICINO AL 2-</v>
      </c>
      <c r="C107" t="str">
        <f t="shared" si="10"/>
        <v>1</v>
      </c>
      <c r="D107">
        <v>21</v>
      </c>
      <c r="E107" t="str">
        <f>"306"</f>
        <v>306</v>
      </c>
      <c r="F107" t="str">
        <f t="shared" si="12"/>
        <v>0000</v>
      </c>
    </row>
    <row r="108" spans="1:6">
      <c r="A108" t="str">
        <f>"T291-6"</f>
        <v>T291-6</v>
      </c>
      <c r="B108" t="str">
        <f t="shared" si="13"/>
        <v>VIA PAOLO  MAGRETTI VICINO AL 2-</v>
      </c>
      <c r="C108" t="str">
        <f t="shared" si="10"/>
        <v>1</v>
      </c>
      <c r="D108">
        <v>21</v>
      </c>
      <c r="E108" t="str">
        <f>"828"</f>
        <v>828</v>
      </c>
      <c r="F108" t="str">
        <f t="shared" si="12"/>
        <v>0000</v>
      </c>
    </row>
    <row r="109" spans="1:6">
      <c r="A109" t="str">
        <f>"T331-1"</f>
        <v>T331-1</v>
      </c>
      <c r="B109" t="str">
        <f>"SAL VEC NS SIGNORA MONTE VICINO AL 13-"</f>
        <v>SAL VEC NS SIGNORA MONTE VICINO AL 13-</v>
      </c>
      <c r="C109" t="str">
        <f t="shared" ref="C109:C134" si="14">"1"</f>
        <v>1</v>
      </c>
      <c r="D109">
        <v>55</v>
      </c>
      <c r="E109" t="str">
        <f>"1039"</f>
        <v>1039</v>
      </c>
      <c r="F109" t="str">
        <f t="shared" si="12"/>
        <v>0000</v>
      </c>
    </row>
    <row r="110" spans="1:6">
      <c r="A110" t="str">
        <f>"T331-2"</f>
        <v>T331-2</v>
      </c>
      <c r="B110" t="str">
        <f>"SAL VEC NS SIGNORA MONTE VICINO AL 13-"</f>
        <v>SAL VEC NS SIGNORA MONTE VICINO AL 13-</v>
      </c>
      <c r="C110" t="str">
        <f t="shared" si="14"/>
        <v>1</v>
      </c>
      <c r="D110">
        <v>55</v>
      </c>
      <c r="E110" t="str">
        <f>"624"</f>
        <v>624</v>
      </c>
      <c r="F110" t="str">
        <f t="shared" si="12"/>
        <v>0000</v>
      </c>
    </row>
    <row r="111" spans="1:6">
      <c r="A111" t="str">
        <f>"T332-1"</f>
        <v>T332-1</v>
      </c>
      <c r="B111" t="str">
        <f>"VIA PIETRO BOZZANO VICINO AL 11-"</f>
        <v>VIA PIETRO BOZZANO VICINO AL 11-</v>
      </c>
      <c r="C111" t="str">
        <f t="shared" si="14"/>
        <v>1</v>
      </c>
      <c r="D111">
        <v>50</v>
      </c>
      <c r="E111" t="str">
        <f>"411"</f>
        <v>411</v>
      </c>
      <c r="F111" t="str">
        <f t="shared" si="12"/>
        <v>0000</v>
      </c>
    </row>
    <row r="112" spans="1:6">
      <c r="A112" t="str">
        <f>"T332-2"</f>
        <v>T332-2</v>
      </c>
      <c r="B112" t="str">
        <f>"VIA PIETRO BOZZANO VICINO AL 11-"</f>
        <v>VIA PIETRO BOZZANO VICINO AL 11-</v>
      </c>
      <c r="C112" t="str">
        <f t="shared" si="14"/>
        <v>1</v>
      </c>
      <c r="D112">
        <v>50</v>
      </c>
      <c r="E112" t="str">
        <f>"762"</f>
        <v>762</v>
      </c>
      <c r="F112" t="str">
        <f t="shared" si="12"/>
        <v>0000</v>
      </c>
    </row>
    <row r="113" spans="1:6">
      <c r="A113" t="str">
        <f>"T383-1"</f>
        <v>T383-1</v>
      </c>
      <c r="B113" t="str">
        <f>"VIA DEL MANZASCO VICINO AL 40-"</f>
        <v>VIA DEL MANZASCO VICINO AL 40-</v>
      </c>
      <c r="C113" t="str">
        <f t="shared" si="14"/>
        <v>1</v>
      </c>
      <c r="D113">
        <v>55</v>
      </c>
      <c r="E113" t="str">
        <f>"134"</f>
        <v>134</v>
      </c>
      <c r="F113" t="str">
        <f t="shared" si="12"/>
        <v>0000</v>
      </c>
    </row>
    <row r="114" spans="1:6">
      <c r="A114" t="str">
        <f>"T429-1"</f>
        <v>T429-1</v>
      </c>
      <c r="B114" t="str">
        <f>"VIA TRIPOLI VICINO AL 2R-"</f>
        <v>VIA TRIPOLI VICINO AL 2R-</v>
      </c>
      <c r="C114" t="str">
        <f t="shared" si="14"/>
        <v>1</v>
      </c>
      <c r="D114">
        <v>72</v>
      </c>
      <c r="E114" t="str">
        <f>"118"</f>
        <v>118</v>
      </c>
      <c r="F114" t="str">
        <f t="shared" si="12"/>
        <v>0000</v>
      </c>
    </row>
    <row r="115" spans="1:6">
      <c r="A115" t="str">
        <f>"T429-2"</f>
        <v>T429-2</v>
      </c>
      <c r="B115" t="str">
        <f>"VIA TRIPOLI VICINO AL 2R-"</f>
        <v>VIA TRIPOLI VICINO AL 2R-</v>
      </c>
      <c r="C115" t="str">
        <f t="shared" si="14"/>
        <v>1</v>
      </c>
      <c r="D115">
        <v>72</v>
      </c>
      <c r="E115" t="str">
        <f>"120"</f>
        <v>120</v>
      </c>
      <c r="F115" t="str">
        <f t="shared" si="12"/>
        <v>0000</v>
      </c>
    </row>
    <row r="116" spans="1:6">
      <c r="A116" t="str">
        <f>"T476-6"</f>
        <v>T476-6</v>
      </c>
      <c r="B116" t="str">
        <f>"VIA DEL MANZASCO VICINO AL 11-"</f>
        <v>VIA DEL MANZASCO VICINO AL 11-</v>
      </c>
      <c r="C116" t="str">
        <f t="shared" si="14"/>
        <v>1</v>
      </c>
      <c r="D116">
        <v>55</v>
      </c>
      <c r="E116" t="str">
        <f>"471"</f>
        <v>471</v>
      </c>
      <c r="F116" t="str">
        <f t="shared" si="12"/>
        <v>0000</v>
      </c>
    </row>
    <row r="117" spans="1:6">
      <c r="A117" t="str">
        <f>"T476-7"</f>
        <v>T476-7</v>
      </c>
      <c r="B117" t="str">
        <f>"VIA DEL MANZASCO VICINO AL 11-"</f>
        <v>VIA DEL MANZASCO VICINO AL 11-</v>
      </c>
      <c r="C117" t="str">
        <f t="shared" si="14"/>
        <v>1</v>
      </c>
      <c r="D117">
        <v>55</v>
      </c>
      <c r="E117" t="str">
        <f>"1319"</f>
        <v>1319</v>
      </c>
      <c r="F117" t="str">
        <f t="shared" si="12"/>
        <v>0000</v>
      </c>
    </row>
    <row r="118" spans="1:6">
      <c r="A118" t="str">
        <f>"T476-8"</f>
        <v>T476-8</v>
      </c>
      <c r="B118" t="str">
        <f>"VIA DEL MANZASCO VICINO AL 11-"</f>
        <v>VIA DEL MANZASCO VICINO AL 11-</v>
      </c>
      <c r="C118" t="str">
        <f t="shared" si="14"/>
        <v>1</v>
      </c>
      <c r="D118">
        <v>55</v>
      </c>
      <c r="E118" t="str">
        <f>"226"</f>
        <v>226</v>
      </c>
      <c r="F118" t="str">
        <f t="shared" si="12"/>
        <v>0000</v>
      </c>
    </row>
    <row r="119" spans="1:6">
      <c r="A119" t="str">
        <f>"T478-1"</f>
        <v>T478-1</v>
      </c>
      <c r="B119" t="str">
        <f t="shared" ref="B119:B125" si="15">"VIA LEON BATTISTA ALBERTI VICINO AL 10-"</f>
        <v>VIA LEON BATTISTA ALBERTI VICINO AL 10-</v>
      </c>
      <c r="C119" t="str">
        <f t="shared" si="14"/>
        <v>1</v>
      </c>
      <c r="D119">
        <v>55</v>
      </c>
      <c r="E119" t="str">
        <f>"317"</f>
        <v>317</v>
      </c>
      <c r="F119" t="str">
        <f t="shared" si="12"/>
        <v>0000</v>
      </c>
    </row>
    <row r="120" spans="1:6">
      <c r="A120" t="str">
        <f>"T478-2"</f>
        <v>T478-2</v>
      </c>
      <c r="B120" t="str">
        <f t="shared" si="15"/>
        <v>VIA LEON BATTISTA ALBERTI VICINO AL 10-</v>
      </c>
      <c r="C120" t="str">
        <f t="shared" si="14"/>
        <v>1</v>
      </c>
      <c r="D120">
        <v>55</v>
      </c>
      <c r="E120" t="str">
        <f>"427"</f>
        <v>427</v>
      </c>
      <c r="F120" t="str">
        <f t="shared" si="12"/>
        <v>0000</v>
      </c>
    </row>
    <row r="121" spans="1:6">
      <c r="A121" t="str">
        <f>"T478-3"</f>
        <v>T478-3</v>
      </c>
      <c r="B121" t="str">
        <f t="shared" si="15"/>
        <v>VIA LEON BATTISTA ALBERTI VICINO AL 10-</v>
      </c>
      <c r="C121" t="str">
        <f t="shared" si="14"/>
        <v>1</v>
      </c>
      <c r="D121">
        <v>55</v>
      </c>
      <c r="E121" t="str">
        <f>"846"</f>
        <v>846</v>
      </c>
      <c r="F121" t="str">
        <f t="shared" si="12"/>
        <v>0000</v>
      </c>
    </row>
    <row r="122" spans="1:6">
      <c r="A122" t="str">
        <f>"T478-4"</f>
        <v>T478-4</v>
      </c>
      <c r="B122" t="str">
        <f t="shared" si="15"/>
        <v>VIA LEON BATTISTA ALBERTI VICINO AL 10-</v>
      </c>
      <c r="C122" t="str">
        <f t="shared" si="14"/>
        <v>1</v>
      </c>
      <c r="D122">
        <v>72</v>
      </c>
      <c r="E122" t="str">
        <f>"181"</f>
        <v>181</v>
      </c>
      <c r="F122" t="str">
        <f t="shared" si="12"/>
        <v>0000</v>
      </c>
    </row>
    <row r="123" spans="1:6">
      <c r="A123" t="str">
        <f>"T478-5"</f>
        <v>T478-5</v>
      </c>
      <c r="B123" t="str">
        <f t="shared" si="15"/>
        <v>VIA LEON BATTISTA ALBERTI VICINO AL 10-</v>
      </c>
      <c r="C123" t="str">
        <f t="shared" si="14"/>
        <v>1</v>
      </c>
      <c r="D123">
        <v>72</v>
      </c>
      <c r="E123" t="str">
        <f>"182"</f>
        <v>182</v>
      </c>
      <c r="F123" t="str">
        <f t="shared" si="12"/>
        <v>0000</v>
      </c>
    </row>
    <row r="124" spans="1:6">
      <c r="A124" t="str">
        <f>"T478-6"</f>
        <v>T478-6</v>
      </c>
      <c r="B124" t="str">
        <f t="shared" si="15"/>
        <v>VIA LEON BATTISTA ALBERTI VICINO AL 10-</v>
      </c>
      <c r="C124" t="str">
        <f t="shared" si="14"/>
        <v>1</v>
      </c>
      <c r="D124">
        <v>72</v>
      </c>
      <c r="E124" t="str">
        <f>"245"</f>
        <v>245</v>
      </c>
      <c r="F124" t="str">
        <f t="shared" si="12"/>
        <v>0000</v>
      </c>
    </row>
    <row r="125" spans="1:6">
      <c r="A125" t="str">
        <f>"T478-7"</f>
        <v>T478-7</v>
      </c>
      <c r="B125" t="str">
        <f t="shared" si="15"/>
        <v>VIA LEON BATTISTA ALBERTI VICINO AL 10-</v>
      </c>
      <c r="C125" t="str">
        <f t="shared" si="14"/>
        <v>1</v>
      </c>
      <c r="D125">
        <v>72</v>
      </c>
      <c r="E125" t="str">
        <f>"6"</f>
        <v>6</v>
      </c>
      <c r="F125" t="str">
        <f t="shared" si="12"/>
        <v>0000</v>
      </c>
    </row>
    <row r="126" spans="1:6">
      <c r="A126" t="str">
        <f>"T487-1"</f>
        <v>T487-1</v>
      </c>
      <c r="B126" t="str">
        <f>"VIA TARCISO DONATI VICINO AL 5-"</f>
        <v>VIA TARCISO DONATI VICINO AL 5-</v>
      </c>
      <c r="C126" t="str">
        <f t="shared" si="14"/>
        <v>1</v>
      </c>
      <c r="D126">
        <v>25</v>
      </c>
      <c r="E126" t="str">
        <f>"506"</f>
        <v>506</v>
      </c>
      <c r="F126" t="str">
        <f t="shared" si="12"/>
        <v>0000</v>
      </c>
    </row>
    <row r="127" spans="1:6">
      <c r="A127" t="str">
        <f>"T487-2"</f>
        <v>T487-2</v>
      </c>
      <c r="B127" t="str">
        <f>"VIA TARCISO DONATI VICINO AL 5-"</f>
        <v>VIA TARCISO DONATI VICINO AL 5-</v>
      </c>
      <c r="C127" t="str">
        <f t="shared" si="14"/>
        <v>1</v>
      </c>
      <c r="D127">
        <v>25</v>
      </c>
      <c r="E127" t="str">
        <f>"943"</f>
        <v>943</v>
      </c>
      <c r="F127" t="str">
        <f t="shared" si="12"/>
        <v>0000</v>
      </c>
    </row>
    <row r="128" spans="1:6">
      <c r="A128" t="str">
        <f>"T488-1"</f>
        <v>T488-1</v>
      </c>
      <c r="B128" t="str">
        <f>"CORSO ALES DE STEFANIS  8-"</f>
        <v>CORSO ALES DE STEFANIS  8-</v>
      </c>
      <c r="C128" t="str">
        <f t="shared" si="14"/>
        <v>1</v>
      </c>
      <c r="D128">
        <v>39</v>
      </c>
      <c r="E128" t="str">
        <f>"240"</f>
        <v>240</v>
      </c>
      <c r="F128" t="str">
        <f t="shared" ref="F128:F136" si="16">"0000"</f>
        <v>0000</v>
      </c>
    </row>
    <row r="129" spans="1:6">
      <c r="A129" t="str">
        <f>"T488-2"</f>
        <v>T488-2</v>
      </c>
      <c r="B129" t="str">
        <f>"CORSO ALES DE STEFANIS  8-"</f>
        <v>CORSO ALES DE STEFANIS  8-</v>
      </c>
      <c r="C129" t="str">
        <f t="shared" si="14"/>
        <v>1</v>
      </c>
      <c r="D129">
        <v>39</v>
      </c>
      <c r="E129" t="str">
        <f>"144"</f>
        <v>144</v>
      </c>
      <c r="F129" t="str">
        <f t="shared" si="16"/>
        <v>0000</v>
      </c>
    </row>
    <row r="130" spans="1:6">
      <c r="A130" t="str">
        <f>"T528-1"</f>
        <v>T528-1</v>
      </c>
      <c r="B130" t="str">
        <f>"VIA DEL MONTE VICINO AL 35-"</f>
        <v>VIA DEL MONTE VICINO AL 35-</v>
      </c>
      <c r="C130" t="str">
        <f t="shared" si="14"/>
        <v>1</v>
      </c>
      <c r="D130">
        <v>40</v>
      </c>
      <c r="E130" t="str">
        <f>"310"</f>
        <v>310</v>
      </c>
      <c r="F130" t="str">
        <f t="shared" si="16"/>
        <v>0000</v>
      </c>
    </row>
    <row r="131" spans="1:6">
      <c r="A131" t="str">
        <f>"T529-1"</f>
        <v>T529-1</v>
      </c>
      <c r="B131" t="str">
        <f>"VIA PIANDERLINO VICINO AL 9-"</f>
        <v>VIA PIANDERLINO VICINO AL 9-</v>
      </c>
      <c r="C131" t="str">
        <f t="shared" si="14"/>
        <v>1</v>
      </c>
      <c r="D131">
        <v>40</v>
      </c>
      <c r="E131" t="str">
        <f>"1597"</f>
        <v>1597</v>
      </c>
      <c r="F131" t="str">
        <f t="shared" si="16"/>
        <v>0000</v>
      </c>
    </row>
    <row r="132" spans="1:6">
      <c r="A132" t="str">
        <f>"T530-1"</f>
        <v>T530-1</v>
      </c>
      <c r="B132" t="str">
        <f>"VIA PIANDERLINO VICINO AL 9-"</f>
        <v>VIA PIANDERLINO VICINO AL 9-</v>
      </c>
      <c r="C132" t="str">
        <f t="shared" si="14"/>
        <v>1</v>
      </c>
      <c r="D132">
        <v>40</v>
      </c>
      <c r="E132" t="str">
        <f>"99999"</f>
        <v>99999</v>
      </c>
      <c r="F132" t="str">
        <f t="shared" si="16"/>
        <v>0000</v>
      </c>
    </row>
    <row r="133" spans="1:6">
      <c r="A133" t="str">
        <f>"T532-1"</f>
        <v>T532-1</v>
      </c>
      <c r="B133" t="str">
        <f>"VIA CLAVAREZZA  2-"</f>
        <v>VIA CLAVAREZZA  2-</v>
      </c>
      <c r="C133" t="str">
        <f t="shared" si="14"/>
        <v>1</v>
      </c>
      <c r="D133">
        <v>39</v>
      </c>
      <c r="E133" t="str">
        <f>"240"</f>
        <v>240</v>
      </c>
      <c r="F133" t="str">
        <f t="shared" si="16"/>
        <v>0000</v>
      </c>
    </row>
    <row r="134" spans="1:6">
      <c r="A134" t="str">
        <f>"T536-1"</f>
        <v>T536-1</v>
      </c>
      <c r="B134" t="str">
        <f>"VIA MONTELLO VICINO AL 13-"</f>
        <v>VIA MONTELLO VICINO AL 13-</v>
      </c>
      <c r="C134" t="str">
        <f t="shared" si="14"/>
        <v>1</v>
      </c>
      <c r="D134">
        <v>38</v>
      </c>
      <c r="E134" t="str">
        <f>"159"</f>
        <v>159</v>
      </c>
      <c r="F134" t="str">
        <f t="shared" si="16"/>
        <v>0000</v>
      </c>
    </row>
    <row r="135" spans="1:6">
      <c r="A135" t="str">
        <f t="shared" ref="A135:A141" si="17">"T537-1"</f>
        <v>T537-1</v>
      </c>
      <c r="B135" t="str">
        <f t="shared" ref="B135:B143" si="18">"VIA CANEVARI VICINO AL 98-"</f>
        <v>VIA CANEVARI VICINO AL 98-</v>
      </c>
      <c r="C135" t="str">
        <f t="shared" ref="C135:C143" si="19">"GEC"</f>
        <v>GEC</v>
      </c>
      <c r="D135">
        <v>41</v>
      </c>
      <c r="E135" t="str">
        <f>"81"</f>
        <v>81</v>
      </c>
      <c r="F135" t="str">
        <f t="shared" si="16"/>
        <v>0000</v>
      </c>
    </row>
    <row r="136" spans="1:6">
      <c r="A136" t="str">
        <f t="shared" si="17"/>
        <v>T537-1</v>
      </c>
      <c r="B136" t="str">
        <f t="shared" si="18"/>
        <v>VIA CANEVARI VICINO AL 98-</v>
      </c>
      <c r="C136" t="str">
        <f t="shared" si="19"/>
        <v>GEC</v>
      </c>
      <c r="D136">
        <v>41</v>
      </c>
      <c r="E136" t="str">
        <f>"101"</f>
        <v>101</v>
      </c>
      <c r="F136" t="str">
        <f t="shared" si="16"/>
        <v>0000</v>
      </c>
    </row>
    <row r="137" spans="1:6">
      <c r="A137" t="str">
        <f t="shared" si="17"/>
        <v>T537-1</v>
      </c>
      <c r="B137" t="str">
        <f t="shared" si="18"/>
        <v>VIA CANEVARI VICINO AL 98-</v>
      </c>
      <c r="C137" t="str">
        <f t="shared" si="19"/>
        <v>GEC</v>
      </c>
      <c r="D137">
        <v>41</v>
      </c>
      <c r="E137" t="str">
        <f>"114"</f>
        <v>114</v>
      </c>
      <c r="F137" t="str">
        <f>"1"</f>
        <v>1</v>
      </c>
    </row>
    <row r="138" spans="1:6">
      <c r="A138" t="str">
        <f t="shared" si="17"/>
        <v>T537-1</v>
      </c>
      <c r="B138" t="str">
        <f t="shared" si="18"/>
        <v>VIA CANEVARI VICINO AL 98-</v>
      </c>
      <c r="C138" t="str">
        <f t="shared" si="19"/>
        <v>GEC</v>
      </c>
      <c r="D138">
        <v>41</v>
      </c>
      <c r="E138" t="str">
        <f>"295"</f>
        <v>295</v>
      </c>
      <c r="F138" t="str">
        <f t="shared" ref="F138:F185" si="20">"0000"</f>
        <v>0000</v>
      </c>
    </row>
    <row r="139" spans="1:6">
      <c r="A139" t="str">
        <f t="shared" si="17"/>
        <v>T537-1</v>
      </c>
      <c r="B139" t="str">
        <f t="shared" si="18"/>
        <v>VIA CANEVARI VICINO AL 98-</v>
      </c>
      <c r="C139" t="str">
        <f t="shared" si="19"/>
        <v>GEC</v>
      </c>
      <c r="D139">
        <v>41</v>
      </c>
      <c r="E139" t="str">
        <f>"147"</f>
        <v>147</v>
      </c>
      <c r="F139" t="str">
        <f t="shared" si="20"/>
        <v>0000</v>
      </c>
    </row>
    <row r="140" spans="1:6">
      <c r="A140" t="str">
        <f t="shared" si="17"/>
        <v>T537-1</v>
      </c>
      <c r="B140" t="str">
        <f t="shared" si="18"/>
        <v>VIA CANEVARI VICINO AL 98-</v>
      </c>
      <c r="C140" t="str">
        <f t="shared" si="19"/>
        <v>GEC</v>
      </c>
      <c r="D140">
        <v>41</v>
      </c>
      <c r="E140" t="str">
        <f>"296"</f>
        <v>296</v>
      </c>
      <c r="F140" t="str">
        <f t="shared" si="20"/>
        <v>0000</v>
      </c>
    </row>
    <row r="141" spans="1:6">
      <c r="A141" t="str">
        <f t="shared" si="17"/>
        <v>T537-1</v>
      </c>
      <c r="B141" t="str">
        <f t="shared" si="18"/>
        <v>VIA CANEVARI VICINO AL 98-</v>
      </c>
      <c r="C141" t="str">
        <f t="shared" si="19"/>
        <v>GEC</v>
      </c>
      <c r="D141">
        <v>41</v>
      </c>
      <c r="E141" t="str">
        <f>"139"</f>
        <v>139</v>
      </c>
      <c r="F141" t="str">
        <f t="shared" si="20"/>
        <v>0000</v>
      </c>
    </row>
    <row r="142" spans="1:6">
      <c r="A142" t="str">
        <f>"T537-2"</f>
        <v>T537-2</v>
      </c>
      <c r="B142" t="str">
        <f t="shared" si="18"/>
        <v>VIA CANEVARI VICINO AL 98-</v>
      </c>
      <c r="C142" t="str">
        <f t="shared" si="19"/>
        <v>GEC</v>
      </c>
      <c r="D142">
        <v>41</v>
      </c>
      <c r="E142" t="str">
        <f>"74"</f>
        <v>74</v>
      </c>
      <c r="F142" t="str">
        <f t="shared" si="20"/>
        <v>0000</v>
      </c>
    </row>
    <row r="143" spans="1:6">
      <c r="A143" t="str">
        <f>"T537-2"</f>
        <v>T537-2</v>
      </c>
      <c r="B143" t="str">
        <f t="shared" si="18"/>
        <v>VIA CANEVARI VICINO AL 98-</v>
      </c>
      <c r="C143" t="str">
        <f t="shared" si="19"/>
        <v>GEC</v>
      </c>
      <c r="D143">
        <v>41</v>
      </c>
      <c r="E143" t="str">
        <f>"148"</f>
        <v>148</v>
      </c>
      <c r="F143" t="str">
        <f t="shared" si="20"/>
        <v>0000</v>
      </c>
    </row>
    <row r="144" spans="1:6">
      <c r="A144" t="str">
        <f>"T553-1"</f>
        <v>T553-1</v>
      </c>
      <c r="B144" t="str">
        <f>"VIA DEL MONTE VICINO AL 39-"</f>
        <v>VIA DEL MONTE VICINO AL 39-</v>
      </c>
      <c r="C144" t="str">
        <f t="shared" ref="C144:C180" si="21">"1"</f>
        <v>1</v>
      </c>
      <c r="D144">
        <v>40</v>
      </c>
      <c r="E144" t="str">
        <f>"233"</f>
        <v>233</v>
      </c>
      <c r="F144" t="str">
        <f t="shared" si="20"/>
        <v>0000</v>
      </c>
    </row>
    <row r="145" spans="1:6">
      <c r="A145" t="str">
        <f>"T556-1"</f>
        <v>T556-1</v>
      </c>
      <c r="B145" t="str">
        <f>"VIA PASQUALE BERGHINI VICINO AL 115-"</f>
        <v>VIA PASQUALE BERGHINI VICINO AL 115-</v>
      </c>
      <c r="C145" t="str">
        <f t="shared" si="21"/>
        <v>1</v>
      </c>
      <c r="D145">
        <v>41</v>
      </c>
      <c r="E145" t="str">
        <f>"291"</f>
        <v>291</v>
      </c>
      <c r="F145" t="str">
        <f t="shared" si="20"/>
        <v>0000</v>
      </c>
    </row>
    <row r="146" spans="1:6">
      <c r="A146" t="str">
        <f>"T556-2"</f>
        <v>T556-2</v>
      </c>
      <c r="B146" t="str">
        <f>"VIA PASQUALE BERGHINI VICINO AL 115-"</f>
        <v>VIA PASQUALE BERGHINI VICINO AL 115-</v>
      </c>
      <c r="C146" t="str">
        <f t="shared" si="21"/>
        <v>1</v>
      </c>
      <c r="D146">
        <v>25</v>
      </c>
      <c r="E146" t="str">
        <f>"562"</f>
        <v>562</v>
      </c>
      <c r="F146" t="str">
        <f t="shared" si="20"/>
        <v>0000</v>
      </c>
    </row>
    <row r="147" spans="1:6">
      <c r="A147" t="str">
        <f>"T557-1"</f>
        <v>T557-1</v>
      </c>
      <c r="B147" t="str">
        <f t="shared" ref="B147:B153" si="22">"VIA PASQUALE BERGHINI VICINO AL 250-"</f>
        <v>VIA PASQUALE BERGHINI VICINO AL 250-</v>
      </c>
      <c r="C147" t="str">
        <f t="shared" si="21"/>
        <v>1</v>
      </c>
      <c r="D147">
        <v>25</v>
      </c>
      <c r="E147" t="str">
        <f>"631"</f>
        <v>631</v>
      </c>
      <c r="F147" t="str">
        <f t="shared" si="20"/>
        <v>0000</v>
      </c>
    </row>
    <row r="148" spans="1:6">
      <c r="A148" t="str">
        <f>"T557-2"</f>
        <v>T557-2</v>
      </c>
      <c r="B148" t="str">
        <f t="shared" si="22"/>
        <v>VIA PASQUALE BERGHINI VICINO AL 250-</v>
      </c>
      <c r="C148" t="str">
        <f t="shared" si="21"/>
        <v>1</v>
      </c>
      <c r="D148">
        <v>25</v>
      </c>
      <c r="E148" t="str">
        <f>"916"</f>
        <v>916</v>
      </c>
      <c r="F148" t="str">
        <f t="shared" si="20"/>
        <v>0000</v>
      </c>
    </row>
    <row r="149" spans="1:6">
      <c r="A149" t="str">
        <f>"T557-3"</f>
        <v>T557-3</v>
      </c>
      <c r="B149" t="str">
        <f t="shared" si="22"/>
        <v>VIA PASQUALE BERGHINI VICINO AL 250-</v>
      </c>
      <c r="C149" t="str">
        <f t="shared" si="21"/>
        <v>1</v>
      </c>
      <c r="D149">
        <v>25</v>
      </c>
      <c r="E149" t="str">
        <f>"917"</f>
        <v>917</v>
      </c>
      <c r="F149" t="str">
        <f t="shared" si="20"/>
        <v>0000</v>
      </c>
    </row>
    <row r="150" spans="1:6">
      <c r="A150" t="str">
        <f>"T558-1"</f>
        <v>T558-1</v>
      </c>
      <c r="B150" t="str">
        <f t="shared" si="22"/>
        <v>VIA PASQUALE BERGHINI VICINO AL 250-</v>
      </c>
      <c r="C150" t="str">
        <f t="shared" si="21"/>
        <v>1</v>
      </c>
      <c r="D150">
        <v>25</v>
      </c>
      <c r="E150" t="str">
        <f>"618"</f>
        <v>618</v>
      </c>
      <c r="F150" t="str">
        <f t="shared" si="20"/>
        <v>0000</v>
      </c>
    </row>
    <row r="151" spans="1:6">
      <c r="A151" t="str">
        <f>"T558-2"</f>
        <v>T558-2</v>
      </c>
      <c r="B151" t="str">
        <f t="shared" si="22"/>
        <v>VIA PASQUALE BERGHINI VICINO AL 250-</v>
      </c>
      <c r="C151" t="str">
        <f t="shared" si="21"/>
        <v>1</v>
      </c>
      <c r="D151">
        <v>25</v>
      </c>
      <c r="E151" t="str">
        <f>"916"</f>
        <v>916</v>
      </c>
      <c r="F151" t="str">
        <f t="shared" si="20"/>
        <v>0000</v>
      </c>
    </row>
    <row r="152" spans="1:6">
      <c r="A152" t="str">
        <f>"T559-1"</f>
        <v>T559-1</v>
      </c>
      <c r="B152" t="str">
        <f t="shared" si="22"/>
        <v>VIA PASQUALE BERGHINI VICINO AL 250-</v>
      </c>
      <c r="C152" t="str">
        <f t="shared" si="21"/>
        <v>1</v>
      </c>
      <c r="D152">
        <v>25</v>
      </c>
      <c r="E152" t="str">
        <f>"618"</f>
        <v>618</v>
      </c>
      <c r="F152" t="str">
        <f t="shared" si="20"/>
        <v>0000</v>
      </c>
    </row>
    <row r="153" spans="1:6">
      <c r="A153" t="str">
        <f>"T559-2"</f>
        <v>T559-2</v>
      </c>
      <c r="B153" t="str">
        <f t="shared" si="22"/>
        <v>VIA PASQUALE BERGHINI VICINO AL 250-</v>
      </c>
      <c r="C153" t="str">
        <f t="shared" si="21"/>
        <v>1</v>
      </c>
      <c r="D153">
        <v>25</v>
      </c>
      <c r="E153" t="str">
        <f>"916"</f>
        <v>916</v>
      </c>
      <c r="F153" t="str">
        <f t="shared" si="20"/>
        <v>0000</v>
      </c>
    </row>
    <row r="154" spans="1:6">
      <c r="A154" t="str">
        <f>"T571-1"</f>
        <v>T571-1</v>
      </c>
      <c r="B154" t="str">
        <f t="shared" ref="B154:B159" si="23">"VIA DEL MANZASCO VICINO AL 7-"</f>
        <v>VIA DEL MANZASCO VICINO AL 7-</v>
      </c>
      <c r="C154" t="str">
        <f t="shared" si="21"/>
        <v>1</v>
      </c>
      <c r="D154">
        <v>55</v>
      </c>
      <c r="E154" t="str">
        <f>"130"</f>
        <v>130</v>
      </c>
      <c r="F154" t="str">
        <f t="shared" si="20"/>
        <v>0000</v>
      </c>
    </row>
    <row r="155" spans="1:6">
      <c r="A155" t="str">
        <f>"T571-2"</f>
        <v>T571-2</v>
      </c>
      <c r="B155" t="str">
        <f t="shared" si="23"/>
        <v>VIA DEL MANZASCO VICINO AL 7-</v>
      </c>
      <c r="C155" t="str">
        <f t="shared" si="21"/>
        <v>1</v>
      </c>
      <c r="D155">
        <v>55</v>
      </c>
      <c r="E155" t="str">
        <f>"520"</f>
        <v>520</v>
      </c>
      <c r="F155" t="str">
        <f t="shared" si="20"/>
        <v>0000</v>
      </c>
    </row>
    <row r="156" spans="1:6">
      <c r="A156" t="str">
        <f>"T571-3"</f>
        <v>T571-3</v>
      </c>
      <c r="B156" t="str">
        <f t="shared" si="23"/>
        <v>VIA DEL MANZASCO VICINO AL 7-</v>
      </c>
      <c r="C156" t="str">
        <f t="shared" si="21"/>
        <v>1</v>
      </c>
      <c r="D156">
        <v>72</v>
      </c>
      <c r="E156" t="str">
        <f>"1"</f>
        <v>1</v>
      </c>
      <c r="F156" t="str">
        <f t="shared" si="20"/>
        <v>0000</v>
      </c>
    </row>
    <row r="157" spans="1:6">
      <c r="A157" t="str">
        <f>"T571-5"</f>
        <v>T571-5</v>
      </c>
      <c r="B157" t="str">
        <f t="shared" si="23"/>
        <v>VIA DEL MANZASCO VICINO AL 7-</v>
      </c>
      <c r="C157" t="str">
        <f t="shared" si="21"/>
        <v>1</v>
      </c>
      <c r="D157">
        <v>55</v>
      </c>
      <c r="E157" t="str">
        <f>"207"</f>
        <v>207</v>
      </c>
      <c r="F157" t="str">
        <f t="shared" si="20"/>
        <v>0000</v>
      </c>
    </row>
    <row r="158" spans="1:6">
      <c r="A158" t="str">
        <f>"T571-6"</f>
        <v>T571-6</v>
      </c>
      <c r="B158" t="str">
        <f t="shared" si="23"/>
        <v>VIA DEL MANZASCO VICINO AL 7-</v>
      </c>
      <c r="C158" t="str">
        <f t="shared" si="21"/>
        <v>1</v>
      </c>
      <c r="D158">
        <v>72</v>
      </c>
      <c r="E158" t="str">
        <f>"679"</f>
        <v>679</v>
      </c>
      <c r="F158" t="str">
        <f t="shared" si="20"/>
        <v>0000</v>
      </c>
    </row>
    <row r="159" spans="1:6">
      <c r="A159" t="str">
        <f>"T571-7"</f>
        <v>T571-7</v>
      </c>
      <c r="B159" t="str">
        <f t="shared" si="23"/>
        <v>VIA DEL MANZASCO VICINO AL 7-</v>
      </c>
      <c r="C159" t="str">
        <f t="shared" si="21"/>
        <v>1</v>
      </c>
      <c r="D159">
        <v>72</v>
      </c>
      <c r="E159" t="str">
        <f>"680"</f>
        <v>680</v>
      </c>
      <c r="F159" t="str">
        <f t="shared" si="20"/>
        <v>0000</v>
      </c>
    </row>
    <row r="160" spans="1:6">
      <c r="A160" t="str">
        <f>"T572-1"</f>
        <v>T572-1</v>
      </c>
      <c r="B160" t="str">
        <f>"VIA DONGHI VICINO AL 43-"</f>
        <v>VIA DONGHI VICINO AL 43-</v>
      </c>
      <c r="C160" t="str">
        <f t="shared" si="21"/>
        <v>1</v>
      </c>
      <c r="D160">
        <v>55</v>
      </c>
      <c r="E160" t="str">
        <f>"867"</f>
        <v>867</v>
      </c>
      <c r="F160" t="str">
        <f t="shared" si="20"/>
        <v>0000</v>
      </c>
    </row>
    <row r="161" spans="1:6">
      <c r="A161" t="str">
        <f>"T572-2"</f>
        <v>T572-2</v>
      </c>
      <c r="B161" t="str">
        <f>"VIA DONGHI VICINO AL 43-"</f>
        <v>VIA DONGHI VICINO AL 43-</v>
      </c>
      <c r="C161" t="str">
        <f t="shared" si="21"/>
        <v>1</v>
      </c>
      <c r="D161">
        <v>55</v>
      </c>
      <c r="E161" t="str">
        <f>"868"</f>
        <v>868</v>
      </c>
      <c r="F161" t="str">
        <f t="shared" si="20"/>
        <v>0000</v>
      </c>
    </row>
    <row r="162" spans="1:6">
      <c r="A162" t="str">
        <f>"T572-3"</f>
        <v>T572-3</v>
      </c>
      <c r="B162" t="str">
        <f>"VIA DONGHI VICINO AL 43-"</f>
        <v>VIA DONGHI VICINO AL 43-</v>
      </c>
      <c r="C162" t="str">
        <f t="shared" si="21"/>
        <v>1</v>
      </c>
      <c r="D162">
        <v>55</v>
      </c>
      <c r="E162" t="str">
        <f>"869"</f>
        <v>869</v>
      </c>
      <c r="F162" t="str">
        <f t="shared" si="20"/>
        <v>0000</v>
      </c>
    </row>
    <row r="163" spans="1:6">
      <c r="A163" t="str">
        <f>"T624-1"</f>
        <v>T624-1</v>
      </c>
      <c r="B163" t="str">
        <f t="shared" ref="B163:B179" si="24">"CORSO MONTE GRAPPA VICINO AL 34-"</f>
        <v>CORSO MONTE GRAPPA VICINO AL 34-</v>
      </c>
      <c r="C163" t="str">
        <f t="shared" si="21"/>
        <v>1</v>
      </c>
      <c r="D163">
        <v>49</v>
      </c>
      <c r="E163" t="str">
        <f>"21"</f>
        <v>21</v>
      </c>
      <c r="F163" t="str">
        <f t="shared" si="20"/>
        <v>0000</v>
      </c>
    </row>
    <row r="164" spans="1:6">
      <c r="A164" t="str">
        <f>"T624-2"</f>
        <v>T624-2</v>
      </c>
      <c r="B164" t="str">
        <f t="shared" si="24"/>
        <v>CORSO MONTE GRAPPA VICINO AL 34-</v>
      </c>
      <c r="C164" t="str">
        <f t="shared" si="21"/>
        <v>1</v>
      </c>
      <c r="D164">
        <v>49</v>
      </c>
      <c r="E164" t="str">
        <f>"22"</f>
        <v>22</v>
      </c>
      <c r="F164" t="str">
        <f t="shared" si="20"/>
        <v>0000</v>
      </c>
    </row>
    <row r="165" spans="1:6">
      <c r="A165" t="str">
        <f>"T624-3"</f>
        <v>T624-3</v>
      </c>
      <c r="B165" t="str">
        <f t="shared" si="24"/>
        <v>CORSO MONTE GRAPPA VICINO AL 34-</v>
      </c>
      <c r="C165" t="str">
        <f t="shared" si="21"/>
        <v>1</v>
      </c>
      <c r="D165">
        <v>49</v>
      </c>
      <c r="E165" t="str">
        <f>"239"</f>
        <v>239</v>
      </c>
      <c r="F165" t="str">
        <f t="shared" si="20"/>
        <v>0000</v>
      </c>
    </row>
    <row r="166" spans="1:6">
      <c r="A166" t="str">
        <f>"T624-4"</f>
        <v>T624-4</v>
      </c>
      <c r="B166" t="str">
        <f t="shared" si="24"/>
        <v>CORSO MONTE GRAPPA VICINO AL 34-</v>
      </c>
      <c r="C166" t="str">
        <f t="shared" si="21"/>
        <v>1</v>
      </c>
      <c r="D166">
        <v>49</v>
      </c>
      <c r="E166" t="str">
        <f>"254"</f>
        <v>254</v>
      </c>
      <c r="F166" t="str">
        <f t="shared" si="20"/>
        <v>0000</v>
      </c>
    </row>
    <row r="167" spans="1:6">
      <c r="A167" t="str">
        <f>"T624-5"</f>
        <v>T624-5</v>
      </c>
      <c r="B167" t="str">
        <f t="shared" si="24"/>
        <v>CORSO MONTE GRAPPA VICINO AL 34-</v>
      </c>
      <c r="C167" t="str">
        <f t="shared" si="21"/>
        <v>1</v>
      </c>
      <c r="D167">
        <v>49</v>
      </c>
      <c r="E167" t="str">
        <f>"33"</f>
        <v>33</v>
      </c>
      <c r="F167" t="str">
        <f t="shared" si="20"/>
        <v>0000</v>
      </c>
    </row>
    <row r="168" spans="1:6">
      <c r="A168" t="str">
        <f>"T624-6"</f>
        <v>T624-6</v>
      </c>
      <c r="B168" t="str">
        <f t="shared" si="24"/>
        <v>CORSO MONTE GRAPPA VICINO AL 34-</v>
      </c>
      <c r="C168" t="str">
        <f t="shared" si="21"/>
        <v>1</v>
      </c>
      <c r="D168">
        <v>49</v>
      </c>
      <c r="E168" t="str">
        <f>"25"</f>
        <v>25</v>
      </c>
      <c r="F168" t="str">
        <f t="shared" si="20"/>
        <v>0000</v>
      </c>
    </row>
    <row r="169" spans="1:6">
      <c r="A169" t="str">
        <f>"T624-7"</f>
        <v>T624-7</v>
      </c>
      <c r="B169" t="str">
        <f t="shared" si="24"/>
        <v>CORSO MONTE GRAPPA VICINO AL 34-</v>
      </c>
      <c r="C169" t="str">
        <f t="shared" si="21"/>
        <v>1</v>
      </c>
      <c r="D169">
        <v>49</v>
      </c>
      <c r="E169" t="str">
        <f>"3"</f>
        <v>3</v>
      </c>
      <c r="F169" t="str">
        <f t="shared" si="20"/>
        <v>0000</v>
      </c>
    </row>
    <row r="170" spans="1:6">
      <c r="A170" t="str">
        <f>"T624-8"</f>
        <v>T624-8</v>
      </c>
      <c r="B170" t="str">
        <f t="shared" si="24"/>
        <v>CORSO MONTE GRAPPA VICINO AL 34-</v>
      </c>
      <c r="C170" t="str">
        <f t="shared" si="21"/>
        <v>1</v>
      </c>
      <c r="D170">
        <v>49</v>
      </c>
      <c r="E170" t="str">
        <f>"4"</f>
        <v>4</v>
      </c>
      <c r="F170" t="str">
        <f t="shared" si="20"/>
        <v>0000</v>
      </c>
    </row>
    <row r="171" spans="1:6">
      <c r="A171" t="str">
        <f>"T624-9"</f>
        <v>T624-9</v>
      </c>
      <c r="B171" t="str">
        <f t="shared" si="24"/>
        <v>CORSO MONTE GRAPPA VICINO AL 34-</v>
      </c>
      <c r="C171" t="str">
        <f t="shared" si="21"/>
        <v>1</v>
      </c>
      <c r="D171">
        <v>49</v>
      </c>
      <c r="E171" t="str">
        <f>"23"</f>
        <v>23</v>
      </c>
      <c r="F171" t="str">
        <f t="shared" si="20"/>
        <v>0000</v>
      </c>
    </row>
    <row r="172" spans="1:6">
      <c r="A172" t="str">
        <f>"T624-10"</f>
        <v>T624-10</v>
      </c>
      <c r="B172" t="str">
        <f t="shared" si="24"/>
        <v>CORSO MONTE GRAPPA VICINO AL 34-</v>
      </c>
      <c r="C172" t="str">
        <f t="shared" si="21"/>
        <v>1</v>
      </c>
      <c r="D172">
        <v>38</v>
      </c>
      <c r="E172" t="str">
        <f>"262"</f>
        <v>262</v>
      </c>
      <c r="F172" t="str">
        <f t="shared" si="20"/>
        <v>0000</v>
      </c>
    </row>
    <row r="173" spans="1:6">
      <c r="A173" t="str">
        <f>"T624-11"</f>
        <v>T624-11</v>
      </c>
      <c r="B173" t="str">
        <f t="shared" si="24"/>
        <v>CORSO MONTE GRAPPA VICINO AL 34-</v>
      </c>
      <c r="C173" t="str">
        <f t="shared" si="21"/>
        <v>1</v>
      </c>
      <c r="D173">
        <v>38</v>
      </c>
      <c r="E173" t="str">
        <f>"273"</f>
        <v>273</v>
      </c>
      <c r="F173" t="str">
        <f t="shared" si="20"/>
        <v>0000</v>
      </c>
    </row>
    <row r="174" spans="1:6">
      <c r="A174" t="str">
        <f>"T624-12"</f>
        <v>T624-12</v>
      </c>
      <c r="B174" t="str">
        <f t="shared" si="24"/>
        <v>CORSO MONTE GRAPPA VICINO AL 34-</v>
      </c>
      <c r="C174" t="str">
        <f t="shared" si="21"/>
        <v>1</v>
      </c>
      <c r="D174">
        <v>38</v>
      </c>
      <c r="E174" t="str">
        <f>"439"</f>
        <v>439</v>
      </c>
      <c r="F174" t="str">
        <f t="shared" si="20"/>
        <v>0000</v>
      </c>
    </row>
    <row r="175" spans="1:6">
      <c r="A175" t="str">
        <f>"T624-13"</f>
        <v>T624-13</v>
      </c>
      <c r="B175" t="str">
        <f t="shared" si="24"/>
        <v>CORSO MONTE GRAPPA VICINO AL 34-</v>
      </c>
      <c r="C175" t="str">
        <f t="shared" si="21"/>
        <v>1</v>
      </c>
      <c r="D175">
        <v>38</v>
      </c>
      <c r="E175" t="str">
        <f>"127"</f>
        <v>127</v>
      </c>
      <c r="F175" t="str">
        <f t="shared" si="20"/>
        <v>0000</v>
      </c>
    </row>
    <row r="176" spans="1:6">
      <c r="A176" t="str">
        <f>"T624-14"</f>
        <v>T624-14</v>
      </c>
      <c r="B176" t="str">
        <f t="shared" si="24"/>
        <v>CORSO MONTE GRAPPA VICINO AL 34-</v>
      </c>
      <c r="C176" t="str">
        <f t="shared" si="21"/>
        <v>1</v>
      </c>
      <c r="D176">
        <v>38</v>
      </c>
      <c r="E176" t="str">
        <f>"99999"</f>
        <v>99999</v>
      </c>
      <c r="F176" t="str">
        <f t="shared" si="20"/>
        <v>0000</v>
      </c>
    </row>
    <row r="177" spans="1:6">
      <c r="A177" t="str">
        <f>"T624-15"</f>
        <v>T624-15</v>
      </c>
      <c r="B177" t="str">
        <f t="shared" si="24"/>
        <v>CORSO MONTE GRAPPA VICINO AL 34-</v>
      </c>
      <c r="C177" t="str">
        <f t="shared" si="21"/>
        <v>1</v>
      </c>
      <c r="D177">
        <v>38</v>
      </c>
      <c r="E177" t="str">
        <f>"99999"</f>
        <v>99999</v>
      </c>
      <c r="F177" t="str">
        <f t="shared" si="20"/>
        <v>0000</v>
      </c>
    </row>
    <row r="178" spans="1:6">
      <c r="A178" t="str">
        <f>"T624-16"</f>
        <v>T624-16</v>
      </c>
      <c r="B178" t="str">
        <f t="shared" si="24"/>
        <v>CORSO MONTE GRAPPA VICINO AL 34-</v>
      </c>
      <c r="C178" t="str">
        <f t="shared" si="21"/>
        <v>1</v>
      </c>
      <c r="D178">
        <v>48</v>
      </c>
      <c r="E178" t="str">
        <f>"389"</f>
        <v>389</v>
      </c>
      <c r="F178" t="str">
        <f t="shared" si="20"/>
        <v>0000</v>
      </c>
    </row>
    <row r="179" spans="1:6">
      <c r="A179" t="str">
        <f>"T624-17"</f>
        <v>T624-17</v>
      </c>
      <c r="B179" t="str">
        <f t="shared" si="24"/>
        <v>CORSO MONTE GRAPPA VICINO AL 34-</v>
      </c>
      <c r="C179" t="str">
        <f t="shared" si="21"/>
        <v>1</v>
      </c>
      <c r="D179">
        <v>36</v>
      </c>
      <c r="E179" t="str">
        <f>"99999"</f>
        <v>99999</v>
      </c>
      <c r="F179" t="str">
        <f t="shared" si="20"/>
        <v>0000</v>
      </c>
    </row>
    <row r="180" spans="1:6">
      <c r="A180" t="str">
        <f>"T646-1"</f>
        <v>T646-1</v>
      </c>
      <c r="B180" t="str">
        <f>"CORSO ALES DE STEFANIS VICINO AL 29-"</f>
        <v>CORSO ALES DE STEFANIS VICINO AL 29-</v>
      </c>
      <c r="C180" t="str">
        <f t="shared" si="21"/>
        <v>1</v>
      </c>
      <c r="D180">
        <v>39</v>
      </c>
      <c r="E180" t="str">
        <f>"99999"</f>
        <v>99999</v>
      </c>
      <c r="F180" t="str">
        <f t="shared" si="20"/>
        <v>0000</v>
      </c>
    </row>
    <row r="181" spans="1:6">
      <c r="A181" t="str">
        <f t="shared" ref="A181:A187" si="25">"T681-1"</f>
        <v>T681-1</v>
      </c>
      <c r="B181" t="str">
        <f t="shared" ref="B181:B189" si="26">"VIA CANEVARI VICINO AL 98-"</f>
        <v>VIA CANEVARI VICINO AL 98-</v>
      </c>
      <c r="C181" t="str">
        <f t="shared" ref="C181:C198" si="27">"GEC"</f>
        <v>GEC</v>
      </c>
      <c r="D181">
        <v>41</v>
      </c>
      <c r="E181" t="str">
        <f>"295"</f>
        <v>295</v>
      </c>
      <c r="F181" t="str">
        <f t="shared" si="20"/>
        <v>0000</v>
      </c>
    </row>
    <row r="182" spans="1:6">
      <c r="A182" t="str">
        <f t="shared" si="25"/>
        <v>T681-1</v>
      </c>
      <c r="B182" t="str">
        <f t="shared" si="26"/>
        <v>VIA CANEVARI VICINO AL 98-</v>
      </c>
      <c r="C182" t="str">
        <f t="shared" si="27"/>
        <v>GEC</v>
      </c>
      <c r="D182">
        <v>41</v>
      </c>
      <c r="E182" t="str">
        <f>"296"</f>
        <v>296</v>
      </c>
      <c r="F182" t="str">
        <f t="shared" si="20"/>
        <v>0000</v>
      </c>
    </row>
    <row r="183" spans="1:6">
      <c r="A183" t="str">
        <f t="shared" si="25"/>
        <v>T681-1</v>
      </c>
      <c r="B183" t="str">
        <f t="shared" si="26"/>
        <v>VIA CANEVARI VICINO AL 98-</v>
      </c>
      <c r="C183" t="str">
        <f t="shared" si="27"/>
        <v>GEC</v>
      </c>
      <c r="D183">
        <v>41</v>
      </c>
      <c r="E183" t="str">
        <f>"81"</f>
        <v>81</v>
      </c>
      <c r="F183" t="str">
        <f t="shared" si="20"/>
        <v>0000</v>
      </c>
    </row>
    <row r="184" spans="1:6">
      <c r="A184" t="str">
        <f t="shared" si="25"/>
        <v>T681-1</v>
      </c>
      <c r="B184" t="str">
        <f t="shared" si="26"/>
        <v>VIA CANEVARI VICINO AL 98-</v>
      </c>
      <c r="C184" t="str">
        <f t="shared" si="27"/>
        <v>GEC</v>
      </c>
      <c r="D184">
        <v>41</v>
      </c>
      <c r="E184" t="str">
        <f>"147"</f>
        <v>147</v>
      </c>
      <c r="F184" t="str">
        <f t="shared" si="20"/>
        <v>0000</v>
      </c>
    </row>
    <row r="185" spans="1:6">
      <c r="A185" t="str">
        <f t="shared" si="25"/>
        <v>T681-1</v>
      </c>
      <c r="B185" t="str">
        <f t="shared" si="26"/>
        <v>VIA CANEVARI VICINO AL 98-</v>
      </c>
      <c r="C185" t="str">
        <f t="shared" si="27"/>
        <v>GEC</v>
      </c>
      <c r="D185">
        <v>41</v>
      </c>
      <c r="E185" t="str">
        <f>"139"</f>
        <v>139</v>
      </c>
      <c r="F185" t="str">
        <f t="shared" si="20"/>
        <v>0000</v>
      </c>
    </row>
    <row r="186" spans="1:6">
      <c r="A186" t="str">
        <f t="shared" si="25"/>
        <v>T681-1</v>
      </c>
      <c r="B186" t="str">
        <f t="shared" si="26"/>
        <v>VIA CANEVARI VICINO AL 98-</v>
      </c>
      <c r="C186" t="str">
        <f t="shared" si="27"/>
        <v>GEC</v>
      </c>
      <c r="D186">
        <v>41</v>
      </c>
      <c r="E186" t="str">
        <f>"114"</f>
        <v>114</v>
      </c>
      <c r="F186" t="str">
        <f>"1"</f>
        <v>1</v>
      </c>
    </row>
    <row r="187" spans="1:6">
      <c r="A187" t="str">
        <f t="shared" si="25"/>
        <v>T681-1</v>
      </c>
      <c r="B187" t="str">
        <f t="shared" si="26"/>
        <v>VIA CANEVARI VICINO AL 98-</v>
      </c>
      <c r="C187" t="str">
        <f t="shared" si="27"/>
        <v>GEC</v>
      </c>
      <c r="D187">
        <v>41</v>
      </c>
      <c r="E187" t="str">
        <f>"101"</f>
        <v>101</v>
      </c>
      <c r="F187" t="str">
        <f t="shared" ref="F187:F192" si="28">"0000"</f>
        <v>0000</v>
      </c>
    </row>
    <row r="188" spans="1:6">
      <c r="A188" t="str">
        <f>"T681-2"</f>
        <v>T681-2</v>
      </c>
      <c r="B188" t="str">
        <f t="shared" si="26"/>
        <v>VIA CANEVARI VICINO AL 98-</v>
      </c>
      <c r="C188" t="str">
        <f t="shared" si="27"/>
        <v>GEC</v>
      </c>
      <c r="D188">
        <v>41</v>
      </c>
      <c r="E188" t="str">
        <f>"74"</f>
        <v>74</v>
      </c>
      <c r="F188" t="str">
        <f t="shared" si="28"/>
        <v>0000</v>
      </c>
    </row>
    <row r="189" spans="1:6">
      <c r="A189" t="str">
        <f>"T681-2"</f>
        <v>T681-2</v>
      </c>
      <c r="B189" t="str">
        <f t="shared" si="26"/>
        <v>VIA CANEVARI VICINO AL 98-</v>
      </c>
      <c r="C189" t="str">
        <f t="shared" si="27"/>
        <v>GEC</v>
      </c>
      <c r="D189">
        <v>41</v>
      </c>
      <c r="E189" t="str">
        <f>"148"</f>
        <v>148</v>
      </c>
      <c r="F189" t="str">
        <f t="shared" si="28"/>
        <v>0000</v>
      </c>
    </row>
    <row r="190" spans="1:6">
      <c r="A190" t="str">
        <f t="shared" ref="A190:A196" si="29">"T682-1"</f>
        <v>T682-1</v>
      </c>
      <c r="B190" t="str">
        <f t="shared" ref="B190:B198" si="30">"VIA CANEVARI VICINO AL 37A-"</f>
        <v>VIA CANEVARI VICINO AL 37A-</v>
      </c>
      <c r="C190" t="str">
        <f t="shared" si="27"/>
        <v>GEC</v>
      </c>
      <c r="D190">
        <v>41</v>
      </c>
      <c r="E190" t="str">
        <f>"81"</f>
        <v>81</v>
      </c>
      <c r="F190" t="str">
        <f t="shared" si="28"/>
        <v>0000</v>
      </c>
    </row>
    <row r="191" spans="1:6">
      <c r="A191" t="str">
        <f t="shared" si="29"/>
        <v>T682-1</v>
      </c>
      <c r="B191" t="str">
        <f t="shared" si="30"/>
        <v>VIA CANEVARI VICINO AL 37A-</v>
      </c>
      <c r="C191" t="str">
        <f t="shared" si="27"/>
        <v>GEC</v>
      </c>
      <c r="D191">
        <v>41</v>
      </c>
      <c r="E191" t="str">
        <f>"139"</f>
        <v>139</v>
      </c>
      <c r="F191" t="str">
        <f t="shared" si="28"/>
        <v>0000</v>
      </c>
    </row>
    <row r="192" spans="1:6">
      <c r="A192" t="str">
        <f t="shared" si="29"/>
        <v>T682-1</v>
      </c>
      <c r="B192" t="str">
        <f t="shared" si="30"/>
        <v>VIA CANEVARI VICINO AL 37A-</v>
      </c>
      <c r="C192" t="str">
        <f t="shared" si="27"/>
        <v>GEC</v>
      </c>
      <c r="D192">
        <v>41</v>
      </c>
      <c r="E192" t="str">
        <f>"101"</f>
        <v>101</v>
      </c>
      <c r="F192" t="str">
        <f t="shared" si="28"/>
        <v>0000</v>
      </c>
    </row>
    <row r="193" spans="1:6">
      <c r="A193" t="str">
        <f t="shared" si="29"/>
        <v>T682-1</v>
      </c>
      <c r="B193" t="str">
        <f t="shared" si="30"/>
        <v>VIA CANEVARI VICINO AL 37A-</v>
      </c>
      <c r="C193" t="str">
        <f t="shared" si="27"/>
        <v>GEC</v>
      </c>
      <c r="D193">
        <v>41</v>
      </c>
      <c r="E193" t="str">
        <f>"114"</f>
        <v>114</v>
      </c>
      <c r="F193" t="str">
        <f>"1"</f>
        <v>1</v>
      </c>
    </row>
    <row r="194" spans="1:6">
      <c r="A194" t="str">
        <f t="shared" si="29"/>
        <v>T682-1</v>
      </c>
      <c r="B194" t="str">
        <f t="shared" si="30"/>
        <v>VIA CANEVARI VICINO AL 37A-</v>
      </c>
      <c r="C194" t="str">
        <f t="shared" si="27"/>
        <v>GEC</v>
      </c>
      <c r="D194">
        <v>41</v>
      </c>
      <c r="E194" t="str">
        <f>"147"</f>
        <v>147</v>
      </c>
      <c r="F194" t="str">
        <f t="shared" ref="F194:F225" si="31">"0000"</f>
        <v>0000</v>
      </c>
    </row>
    <row r="195" spans="1:6">
      <c r="A195" t="str">
        <f t="shared" si="29"/>
        <v>T682-1</v>
      </c>
      <c r="B195" t="str">
        <f t="shared" si="30"/>
        <v>VIA CANEVARI VICINO AL 37A-</v>
      </c>
      <c r="C195" t="str">
        <f t="shared" si="27"/>
        <v>GEC</v>
      </c>
      <c r="D195">
        <v>41</v>
      </c>
      <c r="E195" t="str">
        <f>"296"</f>
        <v>296</v>
      </c>
      <c r="F195" t="str">
        <f t="shared" si="31"/>
        <v>0000</v>
      </c>
    </row>
    <row r="196" spans="1:6">
      <c r="A196" t="str">
        <f t="shared" si="29"/>
        <v>T682-1</v>
      </c>
      <c r="B196" t="str">
        <f t="shared" si="30"/>
        <v>VIA CANEVARI VICINO AL 37A-</v>
      </c>
      <c r="C196" t="str">
        <f t="shared" si="27"/>
        <v>GEC</v>
      </c>
      <c r="D196">
        <v>41</v>
      </c>
      <c r="E196" t="str">
        <f>"295"</f>
        <v>295</v>
      </c>
      <c r="F196" t="str">
        <f t="shared" si="31"/>
        <v>0000</v>
      </c>
    </row>
    <row r="197" spans="1:6">
      <c r="A197" t="str">
        <f>"T682-2"</f>
        <v>T682-2</v>
      </c>
      <c r="B197" t="str">
        <f t="shared" si="30"/>
        <v>VIA CANEVARI VICINO AL 37A-</v>
      </c>
      <c r="C197" t="str">
        <f t="shared" si="27"/>
        <v>GEC</v>
      </c>
      <c r="D197">
        <v>41</v>
      </c>
      <c r="E197" t="str">
        <f>"74"</f>
        <v>74</v>
      </c>
      <c r="F197" t="str">
        <f t="shared" si="31"/>
        <v>0000</v>
      </c>
    </row>
    <row r="198" spans="1:6">
      <c r="A198" t="str">
        <f>"T682-2"</f>
        <v>T682-2</v>
      </c>
      <c r="B198" t="str">
        <f t="shared" si="30"/>
        <v>VIA CANEVARI VICINO AL 37A-</v>
      </c>
      <c r="C198" t="str">
        <f t="shared" si="27"/>
        <v>GEC</v>
      </c>
      <c r="D198">
        <v>41</v>
      </c>
      <c r="E198" t="str">
        <f>"148"</f>
        <v>148</v>
      </c>
      <c r="F198" t="str">
        <f t="shared" si="31"/>
        <v>0000</v>
      </c>
    </row>
    <row r="199" spans="1:6">
      <c r="A199" t="str">
        <f>"T714-1"</f>
        <v>T714-1</v>
      </c>
      <c r="B199" t="str">
        <f>"VIA GINESTRATO VICINO AL 11-"</f>
        <v>VIA GINESTRATO VICINO AL 11-</v>
      </c>
      <c r="C199" t="str">
        <f t="shared" ref="C199:C238" si="32">"1"</f>
        <v>1</v>
      </c>
      <c r="D199">
        <v>25</v>
      </c>
      <c r="E199" t="str">
        <f>"1826"</f>
        <v>1826</v>
      </c>
      <c r="F199" t="str">
        <f t="shared" si="31"/>
        <v>0000</v>
      </c>
    </row>
    <row r="200" spans="1:6">
      <c r="A200" t="str">
        <f>"T715-1"</f>
        <v>T715-1</v>
      </c>
      <c r="B200" t="str">
        <f>"VIA GINESTRATO VICINO AL 11-"</f>
        <v>VIA GINESTRATO VICINO AL 11-</v>
      </c>
      <c r="C200" t="str">
        <f t="shared" si="32"/>
        <v>1</v>
      </c>
      <c r="D200">
        <v>25</v>
      </c>
      <c r="E200" t="str">
        <f>"1825"</f>
        <v>1825</v>
      </c>
      <c r="F200" t="str">
        <f t="shared" si="31"/>
        <v>0000</v>
      </c>
    </row>
    <row r="201" spans="1:6">
      <c r="A201" t="str">
        <f>"T715-2"</f>
        <v>T715-2</v>
      </c>
      <c r="B201" t="str">
        <f>"VIA GINESTRATO VICINO AL 11-"</f>
        <v>VIA GINESTRATO VICINO AL 11-</v>
      </c>
      <c r="C201" t="str">
        <f t="shared" si="32"/>
        <v>1</v>
      </c>
      <c r="D201">
        <v>25</v>
      </c>
      <c r="E201" t="str">
        <f>"1826"</f>
        <v>1826</v>
      </c>
      <c r="F201" t="str">
        <f t="shared" si="31"/>
        <v>0000</v>
      </c>
    </row>
    <row r="202" spans="1:6">
      <c r="A202" t="str">
        <f>"T826-1"</f>
        <v>T826-1</v>
      </c>
      <c r="B202" t="str">
        <f>"VIA MONTELLO VICINO AL 7-"</f>
        <v>VIA MONTELLO VICINO AL 7-</v>
      </c>
      <c r="C202" t="str">
        <f t="shared" si="32"/>
        <v>1</v>
      </c>
      <c r="D202">
        <v>38</v>
      </c>
      <c r="E202" t="str">
        <f>"262"</f>
        <v>262</v>
      </c>
      <c r="F202" t="str">
        <f t="shared" si="31"/>
        <v>0000</v>
      </c>
    </row>
    <row r="203" spans="1:6">
      <c r="A203" t="str">
        <f>"T826-2"</f>
        <v>T826-2</v>
      </c>
      <c r="B203" t="str">
        <f>"VIA MONTELLO VICINO AL 7-"</f>
        <v>VIA MONTELLO VICINO AL 7-</v>
      </c>
      <c r="C203" t="str">
        <f t="shared" si="32"/>
        <v>1</v>
      </c>
      <c r="D203">
        <v>38</v>
      </c>
      <c r="E203" t="str">
        <f>"127"</f>
        <v>127</v>
      </c>
      <c r="F203" t="str">
        <f t="shared" si="31"/>
        <v>0000</v>
      </c>
    </row>
    <row r="204" spans="1:6">
      <c r="A204" t="str">
        <f>"T1044-1"</f>
        <v>T1044-1</v>
      </c>
      <c r="B204" t="str">
        <f>"VIA PASQUALE BERGHINI VICINO AL 162-"</f>
        <v>VIA PASQUALE BERGHINI VICINO AL 162-</v>
      </c>
      <c r="C204" t="str">
        <f t="shared" si="32"/>
        <v>1</v>
      </c>
      <c r="D204">
        <v>41</v>
      </c>
      <c r="E204" t="str">
        <f>"305"</f>
        <v>305</v>
      </c>
      <c r="F204" t="str">
        <f t="shared" si="31"/>
        <v>0000</v>
      </c>
    </row>
    <row r="205" spans="1:6">
      <c r="A205" t="str">
        <f>"T1065-1"</f>
        <v>T1065-1</v>
      </c>
      <c r="B205" t="str">
        <f t="shared" ref="B205:B232" si="33">"VIA LEONARDO FEA VICINO AL 51-"</f>
        <v>VIA LEONARDO FEA VICINO AL 51-</v>
      </c>
      <c r="C205" t="str">
        <f t="shared" si="32"/>
        <v>1</v>
      </c>
      <c r="D205">
        <v>10</v>
      </c>
      <c r="E205" t="str">
        <f>"137"</f>
        <v>137</v>
      </c>
      <c r="F205" t="str">
        <f t="shared" si="31"/>
        <v>0000</v>
      </c>
    </row>
    <row r="206" spans="1:6">
      <c r="A206" t="str">
        <f>"T1065-2"</f>
        <v>T1065-2</v>
      </c>
      <c r="B206" t="str">
        <f t="shared" si="33"/>
        <v>VIA LEONARDO FEA VICINO AL 51-</v>
      </c>
      <c r="C206" t="str">
        <f t="shared" si="32"/>
        <v>1</v>
      </c>
      <c r="D206">
        <v>10</v>
      </c>
      <c r="E206" t="str">
        <f>"152"</f>
        <v>152</v>
      </c>
      <c r="F206" t="str">
        <f t="shared" si="31"/>
        <v>0000</v>
      </c>
    </row>
    <row r="207" spans="1:6">
      <c r="A207" t="str">
        <f>"T1065-3"</f>
        <v>T1065-3</v>
      </c>
      <c r="B207" t="str">
        <f t="shared" si="33"/>
        <v>VIA LEONARDO FEA VICINO AL 51-</v>
      </c>
      <c r="C207" t="str">
        <f t="shared" si="32"/>
        <v>1</v>
      </c>
      <c r="D207">
        <v>10</v>
      </c>
      <c r="E207" t="str">
        <f>"197"</f>
        <v>197</v>
      </c>
      <c r="F207" t="str">
        <f t="shared" si="31"/>
        <v>0000</v>
      </c>
    </row>
    <row r="208" spans="1:6">
      <c r="A208" t="str">
        <f>"T1065-4"</f>
        <v>T1065-4</v>
      </c>
      <c r="B208" t="str">
        <f t="shared" si="33"/>
        <v>VIA LEONARDO FEA VICINO AL 51-</v>
      </c>
      <c r="C208" t="str">
        <f t="shared" si="32"/>
        <v>1</v>
      </c>
      <c r="D208">
        <v>10</v>
      </c>
      <c r="E208" t="str">
        <f>"203"</f>
        <v>203</v>
      </c>
      <c r="F208" t="str">
        <f t="shared" si="31"/>
        <v>0000</v>
      </c>
    </row>
    <row r="209" spans="1:6">
      <c r="A209" t="str">
        <f>"T1065-5"</f>
        <v>T1065-5</v>
      </c>
      <c r="B209" t="str">
        <f t="shared" si="33"/>
        <v>VIA LEONARDO FEA VICINO AL 51-</v>
      </c>
      <c r="C209" t="str">
        <f t="shared" si="32"/>
        <v>1</v>
      </c>
      <c r="D209">
        <v>10</v>
      </c>
      <c r="E209" t="str">
        <f>"257"</f>
        <v>257</v>
      </c>
      <c r="F209" t="str">
        <f t="shared" si="31"/>
        <v>0000</v>
      </c>
    </row>
    <row r="210" spans="1:6">
      <c r="A210" t="str">
        <f>"T1065-6"</f>
        <v>T1065-6</v>
      </c>
      <c r="B210" t="str">
        <f t="shared" si="33"/>
        <v>VIA LEONARDO FEA VICINO AL 51-</v>
      </c>
      <c r="C210" t="str">
        <f t="shared" si="32"/>
        <v>1</v>
      </c>
      <c r="D210">
        <v>21</v>
      </c>
      <c r="E210" t="str">
        <f>"1"</f>
        <v>1</v>
      </c>
      <c r="F210" t="str">
        <f t="shared" si="31"/>
        <v>0000</v>
      </c>
    </row>
    <row r="211" spans="1:6">
      <c r="A211" t="str">
        <f>"T1065-7"</f>
        <v>T1065-7</v>
      </c>
      <c r="B211" t="str">
        <f t="shared" si="33"/>
        <v>VIA LEONARDO FEA VICINO AL 51-</v>
      </c>
      <c r="C211" t="str">
        <f t="shared" si="32"/>
        <v>1</v>
      </c>
      <c r="D211">
        <v>21</v>
      </c>
      <c r="E211" t="str">
        <f>"405"</f>
        <v>405</v>
      </c>
      <c r="F211" t="str">
        <f t="shared" si="31"/>
        <v>0000</v>
      </c>
    </row>
    <row r="212" spans="1:6">
      <c r="A212" t="str">
        <f>"T1065-9"</f>
        <v>T1065-9</v>
      </c>
      <c r="B212" t="str">
        <f t="shared" si="33"/>
        <v>VIA LEONARDO FEA VICINO AL 51-</v>
      </c>
      <c r="C212" t="str">
        <f t="shared" si="32"/>
        <v>1</v>
      </c>
      <c r="D212">
        <v>21</v>
      </c>
      <c r="E212" t="str">
        <f>"600"</f>
        <v>600</v>
      </c>
      <c r="F212" t="str">
        <f t="shared" si="31"/>
        <v>0000</v>
      </c>
    </row>
    <row r="213" spans="1:6">
      <c r="A213" t="str">
        <f>"T1065-10"</f>
        <v>T1065-10</v>
      </c>
      <c r="B213" t="str">
        <f t="shared" si="33"/>
        <v>VIA LEONARDO FEA VICINO AL 51-</v>
      </c>
      <c r="C213" t="str">
        <f t="shared" si="32"/>
        <v>1</v>
      </c>
      <c r="D213">
        <v>21</v>
      </c>
      <c r="E213" t="str">
        <f>"1773"</f>
        <v>1773</v>
      </c>
      <c r="F213" t="str">
        <f t="shared" si="31"/>
        <v>0000</v>
      </c>
    </row>
    <row r="214" spans="1:6">
      <c r="A214" t="str">
        <f>"T1065-11"</f>
        <v>T1065-11</v>
      </c>
      <c r="B214" t="str">
        <f t="shared" si="33"/>
        <v>VIA LEONARDO FEA VICINO AL 51-</v>
      </c>
      <c r="C214" t="str">
        <f t="shared" si="32"/>
        <v>1</v>
      </c>
      <c r="D214">
        <v>21</v>
      </c>
      <c r="E214" t="str">
        <f>"1703"</f>
        <v>1703</v>
      </c>
      <c r="F214" t="str">
        <f t="shared" si="31"/>
        <v>0000</v>
      </c>
    </row>
    <row r="215" spans="1:6">
      <c r="A215" t="str">
        <f>"T1065-12"</f>
        <v>T1065-12</v>
      </c>
      <c r="B215" t="str">
        <f t="shared" si="33"/>
        <v>VIA LEONARDO FEA VICINO AL 51-</v>
      </c>
      <c r="C215" t="str">
        <f t="shared" si="32"/>
        <v>1</v>
      </c>
      <c r="D215">
        <v>21</v>
      </c>
      <c r="E215" t="str">
        <f>"1705"</f>
        <v>1705</v>
      </c>
      <c r="F215" t="str">
        <f t="shared" si="31"/>
        <v>0000</v>
      </c>
    </row>
    <row r="216" spans="1:6">
      <c r="A216" t="str">
        <f>"T1065-13"</f>
        <v>T1065-13</v>
      </c>
      <c r="B216" t="str">
        <f t="shared" si="33"/>
        <v>VIA LEONARDO FEA VICINO AL 51-</v>
      </c>
      <c r="C216" t="str">
        <f t="shared" si="32"/>
        <v>1</v>
      </c>
      <c r="D216">
        <v>21</v>
      </c>
      <c r="E216" t="str">
        <f>"1706"</f>
        <v>1706</v>
      </c>
      <c r="F216" t="str">
        <f t="shared" si="31"/>
        <v>0000</v>
      </c>
    </row>
    <row r="217" spans="1:6">
      <c r="A217" t="str">
        <f>"T1065-14"</f>
        <v>T1065-14</v>
      </c>
      <c r="B217" t="str">
        <f t="shared" si="33"/>
        <v>VIA LEONARDO FEA VICINO AL 51-</v>
      </c>
      <c r="C217" t="str">
        <f t="shared" si="32"/>
        <v>1</v>
      </c>
      <c r="D217">
        <v>21</v>
      </c>
      <c r="E217" t="str">
        <f>"1708"</f>
        <v>1708</v>
      </c>
      <c r="F217" t="str">
        <f t="shared" si="31"/>
        <v>0000</v>
      </c>
    </row>
    <row r="218" spans="1:6">
      <c r="A218" t="str">
        <f>"T1065-15"</f>
        <v>T1065-15</v>
      </c>
      <c r="B218" t="str">
        <f t="shared" si="33"/>
        <v>VIA LEONARDO FEA VICINO AL 51-</v>
      </c>
      <c r="C218" t="str">
        <f t="shared" si="32"/>
        <v>1</v>
      </c>
      <c r="D218">
        <v>21</v>
      </c>
      <c r="E218" t="str">
        <f>"1710"</f>
        <v>1710</v>
      </c>
      <c r="F218" t="str">
        <f t="shared" si="31"/>
        <v>0000</v>
      </c>
    </row>
    <row r="219" spans="1:6">
      <c r="A219" t="str">
        <f>"T1065-16"</f>
        <v>T1065-16</v>
      </c>
      <c r="B219" t="str">
        <f t="shared" si="33"/>
        <v>VIA LEONARDO FEA VICINO AL 51-</v>
      </c>
      <c r="C219" t="str">
        <f t="shared" si="32"/>
        <v>1</v>
      </c>
      <c r="D219">
        <v>21</v>
      </c>
      <c r="E219" t="str">
        <f>"1599"</f>
        <v>1599</v>
      </c>
      <c r="F219" t="str">
        <f t="shared" si="31"/>
        <v>0000</v>
      </c>
    </row>
    <row r="220" spans="1:6">
      <c r="A220" t="str">
        <f>"T1065-18"</f>
        <v>T1065-18</v>
      </c>
      <c r="B220" t="str">
        <f t="shared" si="33"/>
        <v>VIA LEONARDO FEA VICINO AL 51-</v>
      </c>
      <c r="C220" t="str">
        <f t="shared" si="32"/>
        <v>1</v>
      </c>
      <c r="D220">
        <v>21</v>
      </c>
      <c r="E220" t="str">
        <f>"1787"</f>
        <v>1787</v>
      </c>
      <c r="F220" t="str">
        <f t="shared" si="31"/>
        <v>0000</v>
      </c>
    </row>
    <row r="221" spans="1:6">
      <c r="A221" t="str">
        <f>"T1065-19"</f>
        <v>T1065-19</v>
      </c>
      <c r="B221" t="str">
        <f t="shared" si="33"/>
        <v>VIA LEONARDO FEA VICINO AL 51-</v>
      </c>
      <c r="C221" t="str">
        <f t="shared" si="32"/>
        <v>1</v>
      </c>
      <c r="D221">
        <v>21</v>
      </c>
      <c r="E221" t="str">
        <f>"1788"</f>
        <v>1788</v>
      </c>
      <c r="F221" t="str">
        <f t="shared" si="31"/>
        <v>0000</v>
      </c>
    </row>
    <row r="222" spans="1:6">
      <c r="A222" t="str">
        <f>"T1065-20"</f>
        <v>T1065-20</v>
      </c>
      <c r="B222" t="str">
        <f t="shared" si="33"/>
        <v>VIA LEONARDO FEA VICINO AL 51-</v>
      </c>
      <c r="C222" t="str">
        <f t="shared" si="32"/>
        <v>1</v>
      </c>
      <c r="D222">
        <v>21</v>
      </c>
      <c r="E222" t="str">
        <f>"1798"</f>
        <v>1798</v>
      </c>
      <c r="F222" t="str">
        <f t="shared" si="31"/>
        <v>0000</v>
      </c>
    </row>
    <row r="223" spans="1:6">
      <c r="A223" t="str">
        <f>"T1065-21"</f>
        <v>T1065-21</v>
      </c>
      <c r="B223" t="str">
        <f t="shared" si="33"/>
        <v>VIA LEONARDO FEA VICINO AL 51-</v>
      </c>
      <c r="C223" t="str">
        <f t="shared" si="32"/>
        <v>1</v>
      </c>
      <c r="D223">
        <v>21</v>
      </c>
      <c r="E223" t="str">
        <f>"1799"</f>
        <v>1799</v>
      </c>
      <c r="F223" t="str">
        <f t="shared" si="31"/>
        <v>0000</v>
      </c>
    </row>
    <row r="224" spans="1:6">
      <c r="A224" t="str">
        <f>"T1065-22"</f>
        <v>T1065-22</v>
      </c>
      <c r="B224" t="str">
        <f t="shared" si="33"/>
        <v>VIA LEONARDO FEA VICINO AL 51-</v>
      </c>
      <c r="C224" t="str">
        <f t="shared" si="32"/>
        <v>1</v>
      </c>
      <c r="D224">
        <v>21</v>
      </c>
      <c r="E224" t="str">
        <f>"1558"</f>
        <v>1558</v>
      </c>
      <c r="F224" t="str">
        <f t="shared" si="31"/>
        <v>0000</v>
      </c>
    </row>
    <row r="225" spans="1:6">
      <c r="A225" t="str">
        <f>"T1065-23"</f>
        <v>T1065-23</v>
      </c>
      <c r="B225" t="str">
        <f t="shared" si="33"/>
        <v>VIA LEONARDO FEA VICINO AL 51-</v>
      </c>
      <c r="C225" t="str">
        <f t="shared" si="32"/>
        <v>1</v>
      </c>
      <c r="D225">
        <v>21</v>
      </c>
      <c r="E225" t="str">
        <f>"1924"</f>
        <v>1924</v>
      </c>
      <c r="F225" t="str">
        <f t="shared" si="31"/>
        <v>0000</v>
      </c>
    </row>
    <row r="226" spans="1:6">
      <c r="A226" t="str">
        <f>"T1065-25"</f>
        <v>T1065-25</v>
      </c>
      <c r="B226" t="str">
        <f t="shared" si="33"/>
        <v>VIA LEONARDO FEA VICINO AL 51-</v>
      </c>
      <c r="C226" t="str">
        <f t="shared" si="32"/>
        <v>1</v>
      </c>
      <c r="D226">
        <v>21</v>
      </c>
      <c r="E226" t="str">
        <f>"1926"</f>
        <v>1926</v>
      </c>
      <c r="F226" t="str">
        <f t="shared" ref="F226:F247" si="34">"0000"</f>
        <v>0000</v>
      </c>
    </row>
    <row r="227" spans="1:6">
      <c r="A227" t="str">
        <f>"T1065-26"</f>
        <v>T1065-26</v>
      </c>
      <c r="B227" t="str">
        <f t="shared" si="33"/>
        <v>VIA LEONARDO FEA VICINO AL 51-</v>
      </c>
      <c r="C227" t="str">
        <f t="shared" si="32"/>
        <v>1</v>
      </c>
      <c r="D227">
        <v>21</v>
      </c>
      <c r="E227" t="str">
        <f>"1930"</f>
        <v>1930</v>
      </c>
      <c r="F227" t="str">
        <f t="shared" si="34"/>
        <v>0000</v>
      </c>
    </row>
    <row r="228" spans="1:6">
      <c r="A228" t="str">
        <f>"T1066-1"</f>
        <v>T1066-1</v>
      </c>
      <c r="B228" t="str">
        <f t="shared" si="33"/>
        <v>VIA LEONARDO FEA VICINO AL 51-</v>
      </c>
      <c r="C228" t="str">
        <f t="shared" si="32"/>
        <v>1</v>
      </c>
      <c r="D228">
        <v>21</v>
      </c>
      <c r="E228" t="str">
        <f>"682"</f>
        <v>682</v>
      </c>
      <c r="F228" t="str">
        <f t="shared" si="34"/>
        <v>0000</v>
      </c>
    </row>
    <row r="229" spans="1:6">
      <c r="A229" t="str">
        <f>"T1066-2"</f>
        <v>T1066-2</v>
      </c>
      <c r="B229" t="str">
        <f t="shared" si="33"/>
        <v>VIA LEONARDO FEA VICINO AL 51-</v>
      </c>
      <c r="C229" t="str">
        <f t="shared" si="32"/>
        <v>1</v>
      </c>
      <c r="D229">
        <v>21</v>
      </c>
      <c r="E229" t="str">
        <f>"1551"</f>
        <v>1551</v>
      </c>
      <c r="F229" t="str">
        <f t="shared" si="34"/>
        <v>0000</v>
      </c>
    </row>
    <row r="230" spans="1:6">
      <c r="A230" t="str">
        <f>"T1066-3"</f>
        <v>T1066-3</v>
      </c>
      <c r="B230" t="str">
        <f t="shared" si="33"/>
        <v>VIA LEONARDO FEA VICINO AL 51-</v>
      </c>
      <c r="C230" t="str">
        <f t="shared" si="32"/>
        <v>1</v>
      </c>
      <c r="D230">
        <v>21</v>
      </c>
      <c r="E230" t="str">
        <f>"1704"</f>
        <v>1704</v>
      </c>
      <c r="F230" t="str">
        <f t="shared" si="34"/>
        <v>0000</v>
      </c>
    </row>
    <row r="231" spans="1:6">
      <c r="A231" t="str">
        <f>"T1066-4"</f>
        <v>T1066-4</v>
      </c>
      <c r="B231" t="str">
        <f t="shared" si="33"/>
        <v>VIA LEONARDO FEA VICINO AL 51-</v>
      </c>
      <c r="C231" t="str">
        <f t="shared" si="32"/>
        <v>1</v>
      </c>
      <c r="D231">
        <v>21</v>
      </c>
      <c r="E231" t="str">
        <f>"1707"</f>
        <v>1707</v>
      </c>
      <c r="F231" t="str">
        <f t="shared" si="34"/>
        <v>0000</v>
      </c>
    </row>
    <row r="232" spans="1:6">
      <c r="A232" t="str">
        <f>"T1066-5"</f>
        <v>T1066-5</v>
      </c>
      <c r="B232" t="str">
        <f t="shared" si="33"/>
        <v>VIA LEONARDO FEA VICINO AL 51-</v>
      </c>
      <c r="C232" t="str">
        <f t="shared" si="32"/>
        <v>1</v>
      </c>
      <c r="D232">
        <v>21</v>
      </c>
      <c r="E232" t="str">
        <f>"9999"</f>
        <v>9999</v>
      </c>
      <c r="F232" t="str">
        <f t="shared" si="34"/>
        <v>0000</v>
      </c>
    </row>
    <row r="233" spans="1:6">
      <c r="A233" t="str">
        <f>"T1071-1"</f>
        <v>T1071-1</v>
      </c>
      <c r="B233" t="str">
        <f>"CORSO ALES DE STEFANIS  74BR-"</f>
        <v>CORSO ALES DE STEFANIS  74BR-</v>
      </c>
      <c r="C233" t="str">
        <f t="shared" si="32"/>
        <v>1</v>
      </c>
      <c r="D233">
        <v>39</v>
      </c>
      <c r="E233" t="str">
        <f>"227"</f>
        <v>227</v>
      </c>
      <c r="F233" t="str">
        <f t="shared" si="34"/>
        <v>0000</v>
      </c>
    </row>
    <row r="234" spans="1:6">
      <c r="A234" t="str">
        <f>"T1071-2"</f>
        <v>T1071-2</v>
      </c>
      <c r="B234" t="str">
        <f>"CORSO ALES DE STEFANIS  74BR-"</f>
        <v>CORSO ALES DE STEFANIS  74BR-</v>
      </c>
      <c r="C234" t="str">
        <f t="shared" si="32"/>
        <v>1</v>
      </c>
      <c r="D234">
        <v>39</v>
      </c>
      <c r="E234" t="str">
        <f>"241"</f>
        <v>241</v>
      </c>
      <c r="F234" t="str">
        <f t="shared" si="34"/>
        <v>0000</v>
      </c>
    </row>
    <row r="235" spans="1:6">
      <c r="A235" t="str">
        <f>"T1089-2"</f>
        <v>T1089-2</v>
      </c>
      <c r="B235" t="str">
        <f>"VIA SOTTO IL MONTE  30-"</f>
        <v>VIA SOTTO IL MONTE  30-</v>
      </c>
      <c r="C235" t="str">
        <f t="shared" si="32"/>
        <v>1</v>
      </c>
      <c r="D235">
        <v>55</v>
      </c>
      <c r="E235" t="str">
        <f>"1526"</f>
        <v>1526</v>
      </c>
      <c r="F235" t="str">
        <f t="shared" si="34"/>
        <v>0000</v>
      </c>
    </row>
    <row r="236" spans="1:6">
      <c r="A236" t="str">
        <f>"T1089-3"</f>
        <v>T1089-3</v>
      </c>
      <c r="B236" t="str">
        <f>"VIA SOTTO IL MONTE  30-"</f>
        <v>VIA SOTTO IL MONTE  30-</v>
      </c>
      <c r="C236" t="str">
        <f t="shared" si="32"/>
        <v>1</v>
      </c>
      <c r="D236">
        <v>55</v>
      </c>
      <c r="E236" t="str">
        <f>"1528"</f>
        <v>1528</v>
      </c>
      <c r="F236" t="str">
        <f t="shared" si="34"/>
        <v>0000</v>
      </c>
    </row>
    <row r="237" spans="1:6">
      <c r="A237" t="str">
        <f>"T1123-1"</f>
        <v>T1123-1</v>
      </c>
      <c r="B237" t="str">
        <f t="shared" ref="B237:B247" si="35">"VIA PORTAZZA VICINO AL 10-"</f>
        <v>VIA PORTAZZA VICINO AL 10-</v>
      </c>
      <c r="C237" t="str">
        <f t="shared" si="32"/>
        <v>1</v>
      </c>
      <c r="D237">
        <v>25</v>
      </c>
      <c r="E237" t="str">
        <f>"2196"</f>
        <v>2196</v>
      </c>
      <c r="F237" t="str">
        <f t="shared" si="34"/>
        <v>0000</v>
      </c>
    </row>
    <row r="238" spans="1:6">
      <c r="A238" t="str">
        <f>"T1123-2"</f>
        <v>T1123-2</v>
      </c>
      <c r="B238" t="str">
        <f t="shared" si="35"/>
        <v>VIA PORTAZZA VICINO AL 10-</v>
      </c>
      <c r="C238" t="str">
        <f t="shared" si="32"/>
        <v>1</v>
      </c>
      <c r="D238">
        <v>25</v>
      </c>
      <c r="E238" t="str">
        <f>"2252"</f>
        <v>2252</v>
      </c>
      <c r="F238" t="str">
        <f t="shared" si="34"/>
        <v>0000</v>
      </c>
    </row>
    <row r="239" spans="1:6">
      <c r="A239" t="str">
        <f>"T1123-3"</f>
        <v>T1123-3</v>
      </c>
      <c r="B239" t="str">
        <f t="shared" si="35"/>
        <v>VIA PORTAZZA VICINO AL 10-</v>
      </c>
      <c r="C239" t="str">
        <f>"GED"</f>
        <v>GED</v>
      </c>
      <c r="D239">
        <v>35</v>
      </c>
      <c r="E239" t="str">
        <f>"2304"</f>
        <v>2304</v>
      </c>
      <c r="F239" t="str">
        <f t="shared" si="34"/>
        <v>0000</v>
      </c>
    </row>
    <row r="240" spans="1:6">
      <c r="A240" t="str">
        <f>"T1123-4"</f>
        <v>T1123-4</v>
      </c>
      <c r="B240" t="str">
        <f t="shared" si="35"/>
        <v>VIA PORTAZZA VICINO AL 10-</v>
      </c>
      <c r="C240" t="str">
        <f t="shared" ref="C240:C247" si="36">"1"</f>
        <v>1</v>
      </c>
      <c r="D240">
        <v>25</v>
      </c>
      <c r="E240" t="str">
        <f>"1132"</f>
        <v>1132</v>
      </c>
      <c r="F240" t="str">
        <f t="shared" si="34"/>
        <v>0000</v>
      </c>
    </row>
    <row r="241" spans="1:6">
      <c r="A241" t="str">
        <f>"T1123-5"</f>
        <v>T1123-5</v>
      </c>
      <c r="B241" t="str">
        <f t="shared" si="35"/>
        <v>VIA PORTAZZA VICINO AL 10-</v>
      </c>
      <c r="C241" t="str">
        <f t="shared" si="36"/>
        <v>1</v>
      </c>
      <c r="D241">
        <v>25</v>
      </c>
      <c r="E241" t="str">
        <f>"2244"</f>
        <v>2244</v>
      </c>
      <c r="F241" t="str">
        <f t="shared" si="34"/>
        <v>0000</v>
      </c>
    </row>
    <row r="242" spans="1:6">
      <c r="A242" t="str">
        <f>"T1123-6"</f>
        <v>T1123-6</v>
      </c>
      <c r="B242" t="str">
        <f t="shared" si="35"/>
        <v>VIA PORTAZZA VICINO AL 10-</v>
      </c>
      <c r="C242" t="str">
        <f t="shared" si="36"/>
        <v>1</v>
      </c>
      <c r="D242">
        <v>25</v>
      </c>
      <c r="E242" t="str">
        <f>"2246"</f>
        <v>2246</v>
      </c>
      <c r="F242" t="str">
        <f t="shared" si="34"/>
        <v>0000</v>
      </c>
    </row>
    <row r="243" spans="1:6">
      <c r="A243" t="str">
        <f>"T1123-7"</f>
        <v>T1123-7</v>
      </c>
      <c r="B243" t="str">
        <f t="shared" si="35"/>
        <v>VIA PORTAZZA VICINO AL 10-</v>
      </c>
      <c r="C243" t="str">
        <f t="shared" si="36"/>
        <v>1</v>
      </c>
      <c r="D243">
        <v>25</v>
      </c>
      <c r="E243" t="str">
        <f>"2248"</f>
        <v>2248</v>
      </c>
      <c r="F243" t="str">
        <f t="shared" si="34"/>
        <v>0000</v>
      </c>
    </row>
    <row r="244" spans="1:6">
      <c r="A244" t="str">
        <f>"T1123-8"</f>
        <v>T1123-8</v>
      </c>
      <c r="B244" t="str">
        <f t="shared" si="35"/>
        <v>VIA PORTAZZA VICINO AL 10-</v>
      </c>
      <c r="C244" t="str">
        <f t="shared" si="36"/>
        <v>1</v>
      </c>
      <c r="D244">
        <v>25</v>
      </c>
      <c r="E244" t="str">
        <f>"1507"</f>
        <v>1507</v>
      </c>
      <c r="F244" t="str">
        <f t="shared" si="34"/>
        <v>0000</v>
      </c>
    </row>
    <row r="245" spans="1:6">
      <c r="A245" t="str">
        <f>"T1123-9"</f>
        <v>T1123-9</v>
      </c>
      <c r="B245" t="str">
        <f t="shared" si="35"/>
        <v>VIA PORTAZZA VICINO AL 10-</v>
      </c>
      <c r="C245" t="str">
        <f t="shared" si="36"/>
        <v>1</v>
      </c>
      <c r="D245">
        <v>25</v>
      </c>
      <c r="E245" t="str">
        <f>"2250"</f>
        <v>2250</v>
      </c>
      <c r="F245" t="str">
        <f t="shared" si="34"/>
        <v>0000</v>
      </c>
    </row>
    <row r="246" spans="1:6">
      <c r="A246" t="str">
        <f>"T1123-10"</f>
        <v>T1123-10</v>
      </c>
      <c r="B246" t="str">
        <f t="shared" si="35"/>
        <v>VIA PORTAZZA VICINO AL 10-</v>
      </c>
      <c r="C246" t="str">
        <f t="shared" si="36"/>
        <v>1</v>
      </c>
      <c r="D246">
        <v>25</v>
      </c>
      <c r="E246" t="str">
        <f>"1418"</f>
        <v>1418</v>
      </c>
      <c r="F246" t="str">
        <f t="shared" si="34"/>
        <v>0000</v>
      </c>
    </row>
    <row r="247" spans="1:6">
      <c r="A247" t="str">
        <f>"T1123-11"</f>
        <v>T1123-11</v>
      </c>
      <c r="B247" t="str">
        <f t="shared" si="35"/>
        <v>VIA PORTAZZA VICINO AL 10-</v>
      </c>
      <c r="C247" t="str">
        <f t="shared" si="36"/>
        <v>1</v>
      </c>
      <c r="D247">
        <v>25</v>
      </c>
      <c r="E247" t="str">
        <f>"1416"</f>
        <v>1416</v>
      </c>
      <c r="F247" t="str">
        <f t="shared" si="34"/>
        <v>0000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31"/>
  <sheetViews>
    <sheetView workbookViewId="0">
      <selection sqref="A1:F1"/>
    </sheetView>
  </sheetViews>
  <sheetFormatPr defaultRowHeight="12.75"/>
  <cols>
    <col min="1" max="1" width="19.5703125" bestFit="1" customWidth="1"/>
    <col min="2" max="2" width="44.140625" bestFit="1" customWidth="1"/>
    <col min="5" max="5" width="10" bestFit="1" customWidth="1"/>
  </cols>
  <sheetData>
    <row r="1" spans="1:6">
      <c r="A1" s="1" t="str">
        <f>"codice identificativo"</f>
        <v>codice identificativo</v>
      </c>
      <c r="B1" s="1" t="str">
        <f>"Indirizzo/Località"</f>
        <v>Indirizzo/Località</v>
      </c>
      <c r="C1" s="1" t="str">
        <f>"SEZIONE"</f>
        <v>SEZIONE</v>
      </c>
      <c r="D1" s="1" t="str">
        <f>"FOGLIO"</f>
        <v>FOGLIO</v>
      </c>
      <c r="E1" s="1" t="str">
        <f>"MAPPALE"</f>
        <v>MAPPALE</v>
      </c>
      <c r="F1" s="1" t="str">
        <f>"SUB"</f>
        <v>SUB</v>
      </c>
    </row>
    <row r="2" spans="1:6">
      <c r="A2" t="str">
        <f>"T51-1"</f>
        <v>T51-1</v>
      </c>
      <c r="B2" t="str">
        <f>"SALITA DEL MONTINO VICINO AL 36-"</f>
        <v>SALITA DEL MONTINO VICINO AL 36-</v>
      </c>
      <c r="C2" t="str">
        <f>"1"</f>
        <v>1</v>
      </c>
      <c r="D2">
        <v>8</v>
      </c>
      <c r="E2" t="str">
        <f>"76"</f>
        <v>76</v>
      </c>
      <c r="F2" t="str">
        <f t="shared" ref="F2:F40" si="0">"0000"</f>
        <v>0000</v>
      </c>
    </row>
    <row r="3" spans="1:6">
      <c r="A3" t="str">
        <f>"T51-3"</f>
        <v>T51-3</v>
      </c>
      <c r="B3" t="str">
        <f>"SALITA DEL MONTINO VICINO AL 36-"</f>
        <v>SALITA DEL MONTINO VICINO AL 36-</v>
      </c>
      <c r="C3" t="str">
        <f>"1"</f>
        <v>1</v>
      </c>
      <c r="D3">
        <v>8</v>
      </c>
      <c r="E3" t="str">
        <f>"79"</f>
        <v>79</v>
      </c>
      <c r="F3" t="str">
        <f t="shared" si="0"/>
        <v>0000</v>
      </c>
    </row>
    <row r="4" spans="1:6">
      <c r="A4" t="str">
        <f>"T51-4"</f>
        <v>T51-4</v>
      </c>
      <c r="B4" t="str">
        <f>"SALITA DEL MONTINO VICINO AL 36-"</f>
        <v>SALITA DEL MONTINO VICINO AL 36-</v>
      </c>
      <c r="C4" t="str">
        <f>"1"</f>
        <v>1</v>
      </c>
      <c r="D4">
        <v>8</v>
      </c>
      <c r="E4" t="str">
        <f>"80"</f>
        <v>80</v>
      </c>
      <c r="F4" t="str">
        <f t="shared" si="0"/>
        <v>0000</v>
      </c>
    </row>
    <row r="5" spans="1:6">
      <c r="A5" t="str">
        <f>"T51-5"</f>
        <v>T51-5</v>
      </c>
      <c r="B5" t="str">
        <f>"SALITA DEL MONTINO VICINO AL 36-"</f>
        <v>SALITA DEL MONTINO VICINO AL 36-</v>
      </c>
      <c r="C5" t="str">
        <f>"1"</f>
        <v>1</v>
      </c>
      <c r="D5">
        <v>8</v>
      </c>
      <c r="E5" t="str">
        <f>"81"</f>
        <v>81</v>
      </c>
      <c r="F5" t="str">
        <f t="shared" si="0"/>
        <v>0000</v>
      </c>
    </row>
    <row r="6" spans="1:6">
      <c r="A6" t="str">
        <f>"T59-1"</f>
        <v>T59-1</v>
      </c>
      <c r="B6" t="str">
        <f>"SALITA PRELI VICINO AL 30-"</f>
        <v>SALITA PRELI VICINO AL 30-</v>
      </c>
      <c r="C6" t="str">
        <f>"STA"</f>
        <v>STA</v>
      </c>
      <c r="D6">
        <v>24</v>
      </c>
      <c r="E6" t="str">
        <f>"127"</f>
        <v>127</v>
      </c>
      <c r="F6" t="str">
        <f t="shared" si="0"/>
        <v>0000</v>
      </c>
    </row>
    <row r="7" spans="1:6">
      <c r="A7" t="str">
        <f>"T125-1"</f>
        <v>T125-1</v>
      </c>
      <c r="B7" t="str">
        <f>"SALITA GIO MARIA COTELLA  3-"</f>
        <v>SALITA GIO MARIA COTELLA  3-</v>
      </c>
      <c r="C7" t="str">
        <f>"5"</f>
        <v>5</v>
      </c>
      <c r="D7">
        <v>9</v>
      </c>
      <c r="E7" t="str">
        <f>"1633"</f>
        <v>1633</v>
      </c>
      <c r="F7" t="str">
        <f t="shared" si="0"/>
        <v>0000</v>
      </c>
    </row>
    <row r="8" spans="1:6">
      <c r="A8" t="str">
        <f>"T125-3"</f>
        <v>T125-3</v>
      </c>
      <c r="B8" t="str">
        <f>"SALITA GIO MARIA COTELLA  3-"</f>
        <v>SALITA GIO MARIA COTELLA  3-</v>
      </c>
      <c r="C8" t="str">
        <f>"5"</f>
        <v>5</v>
      </c>
      <c r="D8">
        <v>9</v>
      </c>
      <c r="E8" t="str">
        <f>"1094"</f>
        <v>1094</v>
      </c>
      <c r="F8" t="str">
        <f t="shared" si="0"/>
        <v>0000</v>
      </c>
    </row>
    <row r="9" spans="1:6">
      <c r="A9" t="str">
        <f>"T125-4"</f>
        <v>T125-4</v>
      </c>
      <c r="B9" t="str">
        <f>"SALITA GIO MARIA COTELLA  3-"</f>
        <v>SALITA GIO MARIA COTELLA  3-</v>
      </c>
      <c r="C9" t="str">
        <f>"5"</f>
        <v>5</v>
      </c>
      <c r="D9">
        <v>9</v>
      </c>
      <c r="E9" t="str">
        <f>"1095"</f>
        <v>1095</v>
      </c>
      <c r="F9" t="str">
        <f t="shared" si="0"/>
        <v>0000</v>
      </c>
    </row>
    <row r="10" spans="1:6">
      <c r="A10" t="str">
        <f>"T133-1"</f>
        <v>T133-1</v>
      </c>
      <c r="B10" t="str">
        <f>"VIA DELLE GAVETTE  58-"</f>
        <v>VIA DELLE GAVETTE  58-</v>
      </c>
      <c r="C10" t="str">
        <f t="shared" ref="C10:C23" si="1">"1"</f>
        <v>1</v>
      </c>
      <c r="D10">
        <v>5</v>
      </c>
      <c r="E10" t="str">
        <f>"338"</f>
        <v>338</v>
      </c>
      <c r="F10" t="str">
        <f t="shared" si="0"/>
        <v>0000</v>
      </c>
    </row>
    <row r="11" spans="1:6">
      <c r="A11" t="str">
        <f>"T133-2"</f>
        <v>T133-2</v>
      </c>
      <c r="B11" t="str">
        <f>"VIA DELLE GAVETTE  58-"</f>
        <v>VIA DELLE GAVETTE  58-</v>
      </c>
      <c r="C11" t="str">
        <f t="shared" si="1"/>
        <v>1</v>
      </c>
      <c r="D11">
        <v>5</v>
      </c>
      <c r="E11" t="str">
        <f>"368"</f>
        <v>368</v>
      </c>
      <c r="F11" t="str">
        <f t="shared" si="0"/>
        <v>0000</v>
      </c>
    </row>
    <row r="12" spans="1:6">
      <c r="A12" t="str">
        <f>"T133-3"</f>
        <v>T133-3</v>
      </c>
      <c r="B12" t="str">
        <f>"VIA DELLE GAVETTE  58-"</f>
        <v>VIA DELLE GAVETTE  58-</v>
      </c>
      <c r="C12" t="str">
        <f t="shared" si="1"/>
        <v>1</v>
      </c>
      <c r="D12">
        <v>5</v>
      </c>
      <c r="E12" t="str">
        <f>"203"</f>
        <v>203</v>
      </c>
      <c r="F12" t="str">
        <f t="shared" si="0"/>
        <v>0000</v>
      </c>
    </row>
    <row r="13" spans="1:6">
      <c r="A13" t="str">
        <f>"T133-4"</f>
        <v>T133-4</v>
      </c>
      <c r="B13" t="str">
        <f>"VIA DELLE GAVETTE  58-"</f>
        <v>VIA DELLE GAVETTE  58-</v>
      </c>
      <c r="C13" t="str">
        <f t="shared" si="1"/>
        <v>1</v>
      </c>
      <c r="D13">
        <v>5</v>
      </c>
      <c r="E13" t="str">
        <f>"204"</f>
        <v>204</v>
      </c>
      <c r="F13" t="str">
        <f t="shared" si="0"/>
        <v>0000</v>
      </c>
    </row>
    <row r="14" spans="1:6">
      <c r="A14" t="str">
        <f>"T143-1"</f>
        <v>T143-1</v>
      </c>
      <c r="B14" t="str">
        <f>"VIA DELLE BANCHELLE VICINO AL 4-"</f>
        <v>VIA DELLE BANCHELLE VICINO AL 4-</v>
      </c>
      <c r="C14" t="str">
        <f t="shared" si="1"/>
        <v>1</v>
      </c>
      <c r="D14">
        <v>8</v>
      </c>
      <c r="E14" t="str">
        <f>"430"</f>
        <v>430</v>
      </c>
      <c r="F14" t="str">
        <f t="shared" si="0"/>
        <v>0000</v>
      </c>
    </row>
    <row r="15" spans="1:6">
      <c r="A15" t="str">
        <f>"T145-1"</f>
        <v>T145-1</v>
      </c>
      <c r="B15" t="str">
        <f>"VIA SUPERIORE DEL VEILINO VICINO AL 12-"</f>
        <v>VIA SUPERIORE DEL VEILINO VICINO AL 12-</v>
      </c>
      <c r="C15" t="str">
        <f t="shared" si="1"/>
        <v>1</v>
      </c>
      <c r="D15">
        <v>8</v>
      </c>
      <c r="E15" t="str">
        <f>"276"</f>
        <v>276</v>
      </c>
      <c r="F15" t="str">
        <f t="shared" si="0"/>
        <v>0000</v>
      </c>
    </row>
    <row r="16" spans="1:6">
      <c r="A16" t="str">
        <f>"T145-2"</f>
        <v>T145-2</v>
      </c>
      <c r="B16" t="str">
        <f>"VIA SUPERIORE DEL VEILINO VICINO AL 12-"</f>
        <v>VIA SUPERIORE DEL VEILINO VICINO AL 12-</v>
      </c>
      <c r="C16" t="str">
        <f t="shared" si="1"/>
        <v>1</v>
      </c>
      <c r="D16">
        <v>8</v>
      </c>
      <c r="E16" t="str">
        <f>"279"</f>
        <v>279</v>
      </c>
      <c r="F16" t="str">
        <f t="shared" si="0"/>
        <v>0000</v>
      </c>
    </row>
    <row r="17" spans="1:6">
      <c r="A17" t="str">
        <f>"T145-3"</f>
        <v>T145-3</v>
      </c>
      <c r="B17" t="str">
        <f>"VIA SUPERIORE DEL VEILINO VICINO AL 12-"</f>
        <v>VIA SUPERIORE DEL VEILINO VICINO AL 12-</v>
      </c>
      <c r="C17" t="str">
        <f t="shared" si="1"/>
        <v>1</v>
      </c>
      <c r="D17">
        <v>8</v>
      </c>
      <c r="E17" t="str">
        <f>"373"</f>
        <v>373</v>
      </c>
      <c r="F17" t="str">
        <f t="shared" si="0"/>
        <v>0000</v>
      </c>
    </row>
    <row r="18" spans="1:6">
      <c r="A18" t="str">
        <f>"T146-1"</f>
        <v>T146-1</v>
      </c>
      <c r="B18" t="str">
        <f t="shared" ref="B18:B23" si="2">"VIA BOBBIO VICINO AL 54-"</f>
        <v>VIA BOBBIO VICINO AL 54-</v>
      </c>
      <c r="C18" t="str">
        <f t="shared" si="1"/>
        <v>1</v>
      </c>
      <c r="D18">
        <v>8</v>
      </c>
      <c r="E18" t="str">
        <f>"289"</f>
        <v>289</v>
      </c>
      <c r="F18" t="str">
        <f t="shared" si="0"/>
        <v>0000</v>
      </c>
    </row>
    <row r="19" spans="1:6">
      <c r="A19" t="str">
        <f>"T146-2"</f>
        <v>T146-2</v>
      </c>
      <c r="B19" t="str">
        <f t="shared" si="2"/>
        <v>VIA BOBBIO VICINO AL 54-</v>
      </c>
      <c r="C19" t="str">
        <f t="shared" si="1"/>
        <v>1</v>
      </c>
      <c r="D19">
        <v>8</v>
      </c>
      <c r="E19" t="str">
        <f>"292"</f>
        <v>292</v>
      </c>
      <c r="F19" t="str">
        <f t="shared" si="0"/>
        <v>0000</v>
      </c>
    </row>
    <row r="20" spans="1:6">
      <c r="A20" t="str">
        <f>"T146-3"</f>
        <v>T146-3</v>
      </c>
      <c r="B20" t="str">
        <f t="shared" si="2"/>
        <v>VIA BOBBIO VICINO AL 54-</v>
      </c>
      <c r="C20" t="str">
        <f t="shared" si="1"/>
        <v>1</v>
      </c>
      <c r="D20">
        <v>8</v>
      </c>
      <c r="E20" t="str">
        <f>"318"</f>
        <v>318</v>
      </c>
      <c r="F20" t="str">
        <f t="shared" si="0"/>
        <v>0000</v>
      </c>
    </row>
    <row r="21" spans="1:6">
      <c r="A21" t="str">
        <f>"T146-4"</f>
        <v>T146-4</v>
      </c>
      <c r="B21" t="str">
        <f t="shared" si="2"/>
        <v>VIA BOBBIO VICINO AL 54-</v>
      </c>
      <c r="C21" t="str">
        <f t="shared" si="1"/>
        <v>1</v>
      </c>
      <c r="D21">
        <v>8</v>
      </c>
      <c r="E21" t="str">
        <f>"317"</f>
        <v>317</v>
      </c>
      <c r="F21" t="str">
        <f t="shared" si="0"/>
        <v>0000</v>
      </c>
    </row>
    <row r="22" spans="1:6">
      <c r="A22" t="str">
        <f>"T146-5"</f>
        <v>T146-5</v>
      </c>
      <c r="B22" t="str">
        <f t="shared" si="2"/>
        <v>VIA BOBBIO VICINO AL 54-</v>
      </c>
      <c r="C22" t="str">
        <f t="shared" si="1"/>
        <v>1</v>
      </c>
      <c r="D22">
        <v>8</v>
      </c>
      <c r="E22" t="str">
        <f>"647"</f>
        <v>647</v>
      </c>
      <c r="F22" t="str">
        <f t="shared" si="0"/>
        <v>0000</v>
      </c>
    </row>
    <row r="23" spans="1:6">
      <c r="A23" t="str">
        <f>"T146-6"</f>
        <v>T146-6</v>
      </c>
      <c r="B23" t="str">
        <f t="shared" si="2"/>
        <v>VIA BOBBIO VICINO AL 54-</v>
      </c>
      <c r="C23" t="str">
        <f t="shared" si="1"/>
        <v>1</v>
      </c>
      <c r="D23">
        <v>8</v>
      </c>
      <c r="E23" t="str">
        <f>"642"</f>
        <v>642</v>
      </c>
      <c r="F23" t="str">
        <f t="shared" si="0"/>
        <v>0000</v>
      </c>
    </row>
    <row r="24" spans="1:6">
      <c r="A24" t="str">
        <f>"T147-1"</f>
        <v>T147-1</v>
      </c>
      <c r="B24" t="str">
        <f>"VIA GIOVANNI TROSSARELLI  68-"</f>
        <v>VIA GIOVANNI TROSSARELLI  68-</v>
      </c>
      <c r="C24" t="str">
        <f>"5"</f>
        <v>5</v>
      </c>
      <c r="D24">
        <v>29</v>
      </c>
      <c r="E24" t="str">
        <f>"465"</f>
        <v>465</v>
      </c>
      <c r="F24" t="str">
        <f t="shared" si="0"/>
        <v>0000</v>
      </c>
    </row>
    <row r="25" spans="1:6">
      <c r="A25" t="str">
        <f>"T149-1"</f>
        <v>T149-1</v>
      </c>
      <c r="B25" t="str">
        <f>"SALITA PILONI VICINO AL 2-"</f>
        <v>SALITA PILONI VICINO AL 2-</v>
      </c>
      <c r="C25" t="str">
        <f>"5"</f>
        <v>5</v>
      </c>
      <c r="D25">
        <v>27</v>
      </c>
      <c r="E25" t="str">
        <f>"232"</f>
        <v>232</v>
      </c>
      <c r="F25" t="str">
        <f t="shared" si="0"/>
        <v>0000</v>
      </c>
    </row>
    <row r="26" spans="1:6">
      <c r="A26" t="str">
        <f>"T151-1"</f>
        <v>T151-1</v>
      </c>
      <c r="B26" t="str">
        <f>"VIA DELLE BANCHELLE VICINO AL 1A-"</f>
        <v>VIA DELLE BANCHELLE VICINO AL 1A-</v>
      </c>
      <c r="C26" t="str">
        <f>"1"</f>
        <v>1</v>
      </c>
      <c r="D26">
        <v>8</v>
      </c>
      <c r="E26" t="str">
        <f>"202"</f>
        <v>202</v>
      </c>
      <c r="F26" t="str">
        <f t="shared" si="0"/>
        <v>0000</v>
      </c>
    </row>
    <row r="27" spans="1:6">
      <c r="A27" t="str">
        <f>"T152-1"</f>
        <v>T152-1</v>
      </c>
      <c r="B27" t="str">
        <f>"VIA INFER. RIO MAGGIORE VICINO AL 1C-"</f>
        <v>VIA INFER. RIO MAGGIORE VICINO AL 1C-</v>
      </c>
      <c r="C27" t="str">
        <f t="shared" ref="C27:C40" si="3">"5"</f>
        <v>5</v>
      </c>
      <c r="D27">
        <v>5</v>
      </c>
      <c r="E27" t="str">
        <f>"99999"</f>
        <v>99999</v>
      </c>
      <c r="F27" t="str">
        <f t="shared" si="0"/>
        <v>0000</v>
      </c>
    </row>
    <row r="28" spans="1:6">
      <c r="A28" t="str">
        <f>"T153-1"</f>
        <v>T153-1</v>
      </c>
      <c r="B28" t="str">
        <f>"VIA OLIVO VICINO AL 54-"</f>
        <v>VIA OLIVO VICINO AL 54-</v>
      </c>
      <c r="C28" t="str">
        <f t="shared" si="3"/>
        <v>5</v>
      </c>
      <c r="D28">
        <v>9</v>
      </c>
      <c r="E28" t="str">
        <f>"589"</f>
        <v>589</v>
      </c>
      <c r="F28" t="str">
        <f t="shared" si="0"/>
        <v>0000</v>
      </c>
    </row>
    <row r="29" spans="1:6">
      <c r="A29" t="str">
        <f>"T153-2"</f>
        <v>T153-2</v>
      </c>
      <c r="B29" t="str">
        <f>"VIA OLIVO VICINO AL 54-"</f>
        <v>VIA OLIVO VICINO AL 54-</v>
      </c>
      <c r="C29" t="str">
        <f t="shared" si="3"/>
        <v>5</v>
      </c>
      <c r="D29">
        <v>9</v>
      </c>
      <c r="E29" t="str">
        <f>"882"</f>
        <v>882</v>
      </c>
      <c r="F29" t="str">
        <f t="shared" si="0"/>
        <v>0000</v>
      </c>
    </row>
    <row r="30" spans="1:6">
      <c r="A30" t="str">
        <f>"T153-3"</f>
        <v>T153-3</v>
      </c>
      <c r="B30" t="str">
        <f>"VIA OLIVO VICINO AL 54-"</f>
        <v>VIA OLIVO VICINO AL 54-</v>
      </c>
      <c r="C30" t="str">
        <f t="shared" si="3"/>
        <v>5</v>
      </c>
      <c r="D30">
        <v>9</v>
      </c>
      <c r="E30" t="str">
        <f>"C"</f>
        <v>C</v>
      </c>
      <c r="F30" t="str">
        <f t="shared" si="0"/>
        <v>0000</v>
      </c>
    </row>
    <row r="31" spans="1:6">
      <c r="A31" t="str">
        <f>"T153-4"</f>
        <v>T153-4</v>
      </c>
      <c r="B31" t="str">
        <f>"VIA OLIVO VICINO AL 54-"</f>
        <v>VIA OLIVO VICINO AL 54-</v>
      </c>
      <c r="C31" t="str">
        <f t="shared" si="3"/>
        <v>5</v>
      </c>
      <c r="D31">
        <v>9</v>
      </c>
      <c r="E31" t="str">
        <f>"869"</f>
        <v>869</v>
      </c>
      <c r="F31" t="str">
        <f t="shared" si="0"/>
        <v>0000</v>
      </c>
    </row>
    <row r="32" spans="1:6">
      <c r="A32" t="str">
        <f>"T153-5"</f>
        <v>T153-5</v>
      </c>
      <c r="B32" t="str">
        <f>"VIA OLIVO VICINO AL 54-"</f>
        <v>VIA OLIVO VICINO AL 54-</v>
      </c>
      <c r="C32" t="str">
        <f t="shared" si="3"/>
        <v>5</v>
      </c>
      <c r="D32">
        <v>9</v>
      </c>
      <c r="E32" t="str">
        <f>"302"</f>
        <v>302</v>
      </c>
      <c r="F32" t="str">
        <f t="shared" si="0"/>
        <v>0000</v>
      </c>
    </row>
    <row r="33" spans="1:6">
      <c r="A33" t="str">
        <f>"T154-1"</f>
        <v>T154-1</v>
      </c>
      <c r="B33" t="str">
        <f>"VIA BAVARI VICINO AL 15-"</f>
        <v>VIA BAVARI VICINO AL 15-</v>
      </c>
      <c r="C33" t="str">
        <f t="shared" si="3"/>
        <v>5</v>
      </c>
      <c r="D33">
        <v>51</v>
      </c>
      <c r="E33" t="str">
        <f>"12"</f>
        <v>12</v>
      </c>
      <c r="F33" t="str">
        <f t="shared" si="0"/>
        <v>0000</v>
      </c>
    </row>
    <row r="34" spans="1:6">
      <c r="A34" t="str">
        <f>"T154-2"</f>
        <v>T154-2</v>
      </c>
      <c r="B34" t="str">
        <f>"VIA BAVARI VICINO AL 15-"</f>
        <v>VIA BAVARI VICINO AL 15-</v>
      </c>
      <c r="C34" t="str">
        <f t="shared" si="3"/>
        <v>5</v>
      </c>
      <c r="D34">
        <v>51</v>
      </c>
      <c r="E34" t="str">
        <f>"247"</f>
        <v>247</v>
      </c>
      <c r="F34" t="str">
        <f t="shared" si="0"/>
        <v>0000</v>
      </c>
    </row>
    <row r="35" spans="1:6">
      <c r="A35" t="str">
        <f>"T162-1"</f>
        <v>T162-1</v>
      </c>
      <c r="B35" t="str">
        <f>"VIA MOLASSANA VICINO AL 28-"</f>
        <v>VIA MOLASSANA VICINO AL 28-</v>
      </c>
      <c r="C35" t="str">
        <f t="shared" si="3"/>
        <v>5</v>
      </c>
      <c r="D35">
        <v>8</v>
      </c>
      <c r="E35" t="str">
        <f>"163"</f>
        <v>163</v>
      </c>
      <c r="F35" t="str">
        <f t="shared" si="0"/>
        <v>0000</v>
      </c>
    </row>
    <row r="36" spans="1:6">
      <c r="A36" t="str">
        <f>"T162-2"</f>
        <v>T162-2</v>
      </c>
      <c r="B36" t="str">
        <f>"VIA MOLASSANA VICINO AL 28-"</f>
        <v>VIA MOLASSANA VICINO AL 28-</v>
      </c>
      <c r="C36" t="str">
        <f t="shared" si="3"/>
        <v>5</v>
      </c>
      <c r="D36">
        <v>8</v>
      </c>
      <c r="E36" t="str">
        <f>"99999"</f>
        <v>99999</v>
      </c>
      <c r="F36" t="str">
        <f t="shared" si="0"/>
        <v>0000</v>
      </c>
    </row>
    <row r="37" spans="1:6">
      <c r="A37" t="str">
        <f>"T170-1"</f>
        <v>T170-1</v>
      </c>
      <c r="B37" t="str">
        <f t="shared" ref="B37:B44" si="4">"VIA TERPI VICINO AL 3-"</f>
        <v>VIA TERPI VICINO AL 3-</v>
      </c>
      <c r="C37" t="str">
        <f t="shared" si="3"/>
        <v>5</v>
      </c>
      <c r="D37">
        <v>41</v>
      </c>
      <c r="E37" t="str">
        <f>"630"</f>
        <v>630</v>
      </c>
      <c r="F37" t="str">
        <f t="shared" si="0"/>
        <v>0000</v>
      </c>
    </row>
    <row r="38" spans="1:6">
      <c r="A38" t="str">
        <f>"T170-2"</f>
        <v>T170-2</v>
      </c>
      <c r="B38" t="str">
        <f t="shared" si="4"/>
        <v>VIA TERPI VICINO AL 3-</v>
      </c>
      <c r="C38" t="str">
        <f t="shared" si="3"/>
        <v>5</v>
      </c>
      <c r="D38">
        <v>41</v>
      </c>
      <c r="E38" t="str">
        <f>"1520"</f>
        <v>1520</v>
      </c>
      <c r="F38" t="str">
        <f t="shared" si="0"/>
        <v>0000</v>
      </c>
    </row>
    <row r="39" spans="1:6">
      <c r="A39" t="str">
        <f>"T170-4"</f>
        <v>T170-4</v>
      </c>
      <c r="B39" t="str">
        <f t="shared" si="4"/>
        <v>VIA TERPI VICINO AL 3-</v>
      </c>
      <c r="C39" t="str">
        <f t="shared" si="3"/>
        <v>5</v>
      </c>
      <c r="D39">
        <v>41</v>
      </c>
      <c r="E39" t="str">
        <f>"5"</f>
        <v>5</v>
      </c>
      <c r="F39" t="str">
        <f t="shared" si="0"/>
        <v>0000</v>
      </c>
    </row>
    <row r="40" spans="1:6">
      <c r="A40" t="str">
        <f>"T170-5"</f>
        <v>T170-5</v>
      </c>
      <c r="B40" t="str">
        <f t="shared" si="4"/>
        <v>VIA TERPI VICINO AL 3-</v>
      </c>
      <c r="C40" t="str">
        <f t="shared" si="3"/>
        <v>5</v>
      </c>
      <c r="D40">
        <v>41</v>
      </c>
      <c r="E40" t="str">
        <f>"628"</f>
        <v>628</v>
      </c>
      <c r="F40" t="str">
        <f t="shared" si="0"/>
        <v>0000</v>
      </c>
    </row>
    <row r="41" spans="1:6">
      <c r="A41" t="str">
        <f>"T170-6"</f>
        <v>T170-6</v>
      </c>
      <c r="B41" t="str">
        <f t="shared" si="4"/>
        <v>VIA TERPI VICINO AL 3-</v>
      </c>
      <c r="C41" t="str">
        <f>"BAV"</f>
        <v>BAV</v>
      </c>
      <c r="D41">
        <v>41</v>
      </c>
      <c r="E41" t="str">
        <f>"1521"</f>
        <v>1521</v>
      </c>
      <c r="F41" t="str">
        <f>"4"</f>
        <v>4</v>
      </c>
    </row>
    <row r="42" spans="1:6">
      <c r="A42" t="str">
        <f>"T170-6"</f>
        <v>T170-6</v>
      </c>
      <c r="B42" t="str">
        <f t="shared" si="4"/>
        <v>VIA TERPI VICINO AL 3-</v>
      </c>
      <c r="C42" t="str">
        <f>"5"</f>
        <v>5</v>
      </c>
      <c r="D42">
        <v>41</v>
      </c>
      <c r="E42" t="str">
        <f>"1521"</f>
        <v>1521</v>
      </c>
      <c r="F42" t="str">
        <f>"0000"</f>
        <v>0000</v>
      </c>
    </row>
    <row r="43" spans="1:6">
      <c r="A43" t="str">
        <f>"T170-7"</f>
        <v>T170-7</v>
      </c>
      <c r="B43" t="str">
        <f t="shared" si="4"/>
        <v>VIA TERPI VICINO AL 3-</v>
      </c>
      <c r="C43" t="str">
        <f>"BAV"</f>
        <v>BAV</v>
      </c>
      <c r="D43">
        <v>41</v>
      </c>
      <c r="E43" t="str">
        <f>"1521"</f>
        <v>1521</v>
      </c>
      <c r="F43" t="str">
        <f>"7"</f>
        <v>7</v>
      </c>
    </row>
    <row r="44" spans="1:6">
      <c r="A44" t="str">
        <f>"T170-7"</f>
        <v>T170-7</v>
      </c>
      <c r="B44" t="str">
        <f t="shared" si="4"/>
        <v>VIA TERPI VICINO AL 3-</v>
      </c>
      <c r="C44" t="str">
        <f>"5"</f>
        <v>5</v>
      </c>
      <c r="D44">
        <v>41</v>
      </c>
      <c r="E44" t="str">
        <f>"1521"</f>
        <v>1521</v>
      </c>
      <c r="F44" t="str">
        <f t="shared" ref="F44:F107" si="5">"0000"</f>
        <v>0000</v>
      </c>
    </row>
    <row r="45" spans="1:6">
      <c r="A45" t="str">
        <f>"T171-1"</f>
        <v>T171-1</v>
      </c>
      <c r="B45" t="str">
        <f>"VIA LODI VICINO AL 40-"</f>
        <v>VIA LODI VICINO AL 40-</v>
      </c>
      <c r="C45" t="str">
        <f>"1"</f>
        <v>1</v>
      </c>
      <c r="D45">
        <v>5</v>
      </c>
      <c r="E45" t="str">
        <f>"330"</f>
        <v>330</v>
      </c>
      <c r="F45" t="str">
        <f t="shared" si="5"/>
        <v>0000</v>
      </c>
    </row>
    <row r="46" spans="1:6">
      <c r="A46" t="str">
        <f>"T171-2"</f>
        <v>T171-2</v>
      </c>
      <c r="B46" t="str">
        <f>"VIA LODI VICINO AL 40-"</f>
        <v>VIA LODI VICINO AL 40-</v>
      </c>
      <c r="C46" t="str">
        <f>"1"</f>
        <v>1</v>
      </c>
      <c r="D46">
        <v>5</v>
      </c>
      <c r="E46" t="str">
        <f>"409"</f>
        <v>409</v>
      </c>
      <c r="F46" t="str">
        <f t="shared" si="5"/>
        <v>0000</v>
      </c>
    </row>
    <row r="47" spans="1:6">
      <c r="A47" t="str">
        <f>"T171-3"</f>
        <v>T171-3</v>
      </c>
      <c r="B47" t="str">
        <f>"VIA LODI VICINO AL 40-"</f>
        <v>VIA LODI VICINO AL 40-</v>
      </c>
      <c r="C47" t="str">
        <f>"1"</f>
        <v>1</v>
      </c>
      <c r="D47">
        <v>5</v>
      </c>
      <c r="E47" t="str">
        <f>"411"</f>
        <v>411</v>
      </c>
      <c r="F47" t="str">
        <f t="shared" si="5"/>
        <v>0000</v>
      </c>
    </row>
    <row r="48" spans="1:6">
      <c r="A48" t="str">
        <f>"T172-1"</f>
        <v>T172-1</v>
      </c>
      <c r="B48" t="str">
        <f>"VIA PIACENZA VICINO AL 68-"</f>
        <v>VIA PIACENZA VICINO AL 68-</v>
      </c>
      <c r="C48" t="str">
        <f>"1"</f>
        <v>1</v>
      </c>
      <c r="D48">
        <v>5</v>
      </c>
      <c r="E48" t="str">
        <f>"190"</f>
        <v>190</v>
      </c>
      <c r="F48" t="str">
        <f t="shared" si="5"/>
        <v>0000</v>
      </c>
    </row>
    <row r="49" spans="1:6">
      <c r="A49" t="str">
        <f>"T173-1"</f>
        <v>T173-1</v>
      </c>
      <c r="B49" t="str">
        <f t="shared" ref="B49:B68" si="6">"VIA VAL TREBBIA VICINO AL 240-"</f>
        <v>VIA VAL TREBBIA VICINO AL 240-</v>
      </c>
      <c r="C49" t="str">
        <f t="shared" ref="C49:C72" si="7">"5"</f>
        <v>5</v>
      </c>
      <c r="D49">
        <v>42</v>
      </c>
      <c r="E49" t="str">
        <f>"3"</f>
        <v>3</v>
      </c>
      <c r="F49" t="str">
        <f t="shared" si="5"/>
        <v>0000</v>
      </c>
    </row>
    <row r="50" spans="1:6">
      <c r="A50" t="str">
        <f>"T173-2"</f>
        <v>T173-2</v>
      </c>
      <c r="B50" t="str">
        <f t="shared" si="6"/>
        <v>VIA VAL TREBBIA VICINO AL 240-</v>
      </c>
      <c r="C50" t="str">
        <f t="shared" si="7"/>
        <v>5</v>
      </c>
      <c r="D50">
        <v>42</v>
      </c>
      <c r="E50" t="str">
        <f>"4"</f>
        <v>4</v>
      </c>
      <c r="F50" t="str">
        <f t="shared" si="5"/>
        <v>0000</v>
      </c>
    </row>
    <row r="51" spans="1:6">
      <c r="A51" t="str">
        <f>"T173-3"</f>
        <v>T173-3</v>
      </c>
      <c r="B51" t="str">
        <f t="shared" si="6"/>
        <v>VIA VAL TREBBIA VICINO AL 240-</v>
      </c>
      <c r="C51" t="str">
        <f t="shared" si="7"/>
        <v>5</v>
      </c>
      <c r="D51">
        <v>42</v>
      </c>
      <c r="E51" t="str">
        <f>"5"</f>
        <v>5</v>
      </c>
      <c r="F51" t="str">
        <f t="shared" si="5"/>
        <v>0000</v>
      </c>
    </row>
    <row r="52" spans="1:6">
      <c r="A52" t="str">
        <f>"T173-4"</f>
        <v>T173-4</v>
      </c>
      <c r="B52" t="str">
        <f t="shared" si="6"/>
        <v>VIA VAL TREBBIA VICINO AL 240-</v>
      </c>
      <c r="C52" t="str">
        <f t="shared" si="7"/>
        <v>5</v>
      </c>
      <c r="D52">
        <v>42</v>
      </c>
      <c r="E52" t="str">
        <f>"8"</f>
        <v>8</v>
      </c>
      <c r="F52" t="str">
        <f t="shared" si="5"/>
        <v>0000</v>
      </c>
    </row>
    <row r="53" spans="1:6">
      <c r="A53" t="str">
        <f>"T173-5"</f>
        <v>T173-5</v>
      </c>
      <c r="B53" t="str">
        <f t="shared" si="6"/>
        <v>VIA VAL TREBBIA VICINO AL 240-</v>
      </c>
      <c r="C53" t="str">
        <f t="shared" si="7"/>
        <v>5</v>
      </c>
      <c r="D53">
        <v>42</v>
      </c>
      <c r="E53" t="str">
        <f>"25"</f>
        <v>25</v>
      </c>
      <c r="F53" t="str">
        <f t="shared" si="5"/>
        <v>0000</v>
      </c>
    </row>
    <row r="54" spans="1:6">
      <c r="A54" t="str">
        <f>"T173-9"</f>
        <v>T173-9</v>
      </c>
      <c r="B54" t="str">
        <f t="shared" si="6"/>
        <v>VIA VAL TREBBIA VICINO AL 240-</v>
      </c>
      <c r="C54" t="str">
        <f t="shared" si="7"/>
        <v>5</v>
      </c>
      <c r="D54">
        <v>42</v>
      </c>
      <c r="E54" t="str">
        <f>"29"</f>
        <v>29</v>
      </c>
      <c r="F54" t="str">
        <f t="shared" si="5"/>
        <v>0000</v>
      </c>
    </row>
    <row r="55" spans="1:6">
      <c r="A55" t="str">
        <f>"T173-10"</f>
        <v>T173-10</v>
      </c>
      <c r="B55" t="str">
        <f t="shared" si="6"/>
        <v>VIA VAL TREBBIA VICINO AL 240-</v>
      </c>
      <c r="C55" t="str">
        <f t="shared" si="7"/>
        <v>5</v>
      </c>
      <c r="D55">
        <v>42</v>
      </c>
      <c r="E55" t="str">
        <f>"30"</f>
        <v>30</v>
      </c>
      <c r="F55" t="str">
        <f t="shared" si="5"/>
        <v>0000</v>
      </c>
    </row>
    <row r="56" spans="1:6">
      <c r="A56" t="str">
        <f>"T173-11"</f>
        <v>T173-11</v>
      </c>
      <c r="B56" t="str">
        <f t="shared" si="6"/>
        <v>VIA VAL TREBBIA VICINO AL 240-</v>
      </c>
      <c r="C56" t="str">
        <f t="shared" si="7"/>
        <v>5</v>
      </c>
      <c r="D56">
        <v>42</v>
      </c>
      <c r="E56" t="str">
        <f>"31"</f>
        <v>31</v>
      </c>
      <c r="F56" t="str">
        <f t="shared" si="5"/>
        <v>0000</v>
      </c>
    </row>
    <row r="57" spans="1:6">
      <c r="A57" t="str">
        <f>"T173-12"</f>
        <v>T173-12</v>
      </c>
      <c r="B57" t="str">
        <f t="shared" si="6"/>
        <v>VIA VAL TREBBIA VICINO AL 240-</v>
      </c>
      <c r="C57" t="str">
        <f t="shared" si="7"/>
        <v>5</v>
      </c>
      <c r="D57">
        <v>42</v>
      </c>
      <c r="E57" t="str">
        <f>"32"</f>
        <v>32</v>
      </c>
      <c r="F57" t="str">
        <f t="shared" si="5"/>
        <v>0000</v>
      </c>
    </row>
    <row r="58" spans="1:6">
      <c r="A58" t="str">
        <f>"T173-13"</f>
        <v>T173-13</v>
      </c>
      <c r="B58" t="str">
        <f t="shared" si="6"/>
        <v>VIA VAL TREBBIA VICINO AL 240-</v>
      </c>
      <c r="C58" t="str">
        <f t="shared" si="7"/>
        <v>5</v>
      </c>
      <c r="D58">
        <v>42</v>
      </c>
      <c r="E58" t="str">
        <f>"48"</f>
        <v>48</v>
      </c>
      <c r="F58" t="str">
        <f t="shared" si="5"/>
        <v>0000</v>
      </c>
    </row>
    <row r="59" spans="1:6">
      <c r="A59" t="str">
        <f>"T173-14"</f>
        <v>T173-14</v>
      </c>
      <c r="B59" t="str">
        <f t="shared" si="6"/>
        <v>VIA VAL TREBBIA VICINO AL 240-</v>
      </c>
      <c r="C59" t="str">
        <f t="shared" si="7"/>
        <v>5</v>
      </c>
      <c r="D59">
        <v>42</v>
      </c>
      <c r="E59" t="str">
        <f>"51"</f>
        <v>51</v>
      </c>
      <c r="F59" t="str">
        <f t="shared" si="5"/>
        <v>0000</v>
      </c>
    </row>
    <row r="60" spans="1:6">
      <c r="A60" t="str">
        <f>"T173-15"</f>
        <v>T173-15</v>
      </c>
      <c r="B60" t="str">
        <f t="shared" si="6"/>
        <v>VIA VAL TREBBIA VICINO AL 240-</v>
      </c>
      <c r="C60" t="str">
        <f t="shared" si="7"/>
        <v>5</v>
      </c>
      <c r="D60">
        <v>42</v>
      </c>
      <c r="E60" t="str">
        <f>"53"</f>
        <v>53</v>
      </c>
      <c r="F60" t="str">
        <f t="shared" si="5"/>
        <v>0000</v>
      </c>
    </row>
    <row r="61" spans="1:6">
      <c r="A61" t="str">
        <f>"T173-16"</f>
        <v>T173-16</v>
      </c>
      <c r="B61" t="str">
        <f t="shared" si="6"/>
        <v>VIA VAL TREBBIA VICINO AL 240-</v>
      </c>
      <c r="C61" t="str">
        <f t="shared" si="7"/>
        <v>5</v>
      </c>
      <c r="D61">
        <v>42</v>
      </c>
      <c r="E61" t="str">
        <f>"204"</f>
        <v>204</v>
      </c>
      <c r="F61" t="str">
        <f t="shared" si="5"/>
        <v>0000</v>
      </c>
    </row>
    <row r="62" spans="1:6">
      <c r="A62" t="str">
        <f>"T173-17"</f>
        <v>T173-17</v>
      </c>
      <c r="B62" t="str">
        <f t="shared" si="6"/>
        <v>VIA VAL TREBBIA VICINO AL 240-</v>
      </c>
      <c r="C62" t="str">
        <f t="shared" si="7"/>
        <v>5</v>
      </c>
      <c r="D62">
        <v>42</v>
      </c>
      <c r="E62" t="str">
        <f>"543"</f>
        <v>543</v>
      </c>
      <c r="F62" t="str">
        <f t="shared" si="5"/>
        <v>0000</v>
      </c>
    </row>
    <row r="63" spans="1:6">
      <c r="A63" t="str">
        <f>"T173-18"</f>
        <v>T173-18</v>
      </c>
      <c r="B63" t="str">
        <f t="shared" si="6"/>
        <v>VIA VAL TREBBIA VICINO AL 240-</v>
      </c>
      <c r="C63" t="str">
        <f t="shared" si="7"/>
        <v>5</v>
      </c>
      <c r="D63">
        <v>42</v>
      </c>
      <c r="E63" t="str">
        <f>"546"</f>
        <v>546</v>
      </c>
      <c r="F63" t="str">
        <f t="shared" si="5"/>
        <v>0000</v>
      </c>
    </row>
    <row r="64" spans="1:6">
      <c r="A64" t="str">
        <f>"T173-19"</f>
        <v>T173-19</v>
      </c>
      <c r="B64" t="str">
        <f t="shared" si="6"/>
        <v>VIA VAL TREBBIA VICINO AL 240-</v>
      </c>
      <c r="C64" t="str">
        <f t="shared" si="7"/>
        <v>5</v>
      </c>
      <c r="D64">
        <v>42</v>
      </c>
      <c r="E64" t="str">
        <f>"1189"</f>
        <v>1189</v>
      </c>
      <c r="F64" t="str">
        <f t="shared" si="5"/>
        <v>0000</v>
      </c>
    </row>
    <row r="65" spans="1:6">
      <c r="A65" t="str">
        <f>"T173-21"</f>
        <v>T173-21</v>
      </c>
      <c r="B65" t="str">
        <f t="shared" si="6"/>
        <v>VIA VAL TREBBIA VICINO AL 240-</v>
      </c>
      <c r="C65" t="str">
        <f t="shared" si="7"/>
        <v>5</v>
      </c>
      <c r="D65">
        <v>42</v>
      </c>
      <c r="E65" t="str">
        <f>"1117"</f>
        <v>1117</v>
      </c>
      <c r="F65" t="str">
        <f t="shared" si="5"/>
        <v>0000</v>
      </c>
    </row>
    <row r="66" spans="1:6">
      <c r="A66" t="str">
        <f>"T173-22"</f>
        <v>T173-22</v>
      </c>
      <c r="B66" t="str">
        <f t="shared" si="6"/>
        <v>VIA VAL TREBBIA VICINO AL 240-</v>
      </c>
      <c r="C66" t="str">
        <f t="shared" si="7"/>
        <v>5</v>
      </c>
      <c r="D66">
        <v>42</v>
      </c>
      <c r="E66" t="str">
        <f>"1776"</f>
        <v>1776</v>
      </c>
      <c r="F66" t="str">
        <f t="shared" si="5"/>
        <v>0000</v>
      </c>
    </row>
    <row r="67" spans="1:6">
      <c r="A67" t="str">
        <f>"T173-24"</f>
        <v>T173-24</v>
      </c>
      <c r="B67" t="str">
        <f t="shared" si="6"/>
        <v>VIA VAL TREBBIA VICINO AL 240-</v>
      </c>
      <c r="C67" t="str">
        <f t="shared" si="7"/>
        <v>5</v>
      </c>
      <c r="D67">
        <v>42</v>
      </c>
      <c r="E67" t="str">
        <f>"1778"</f>
        <v>1778</v>
      </c>
      <c r="F67" t="str">
        <f t="shared" si="5"/>
        <v>0000</v>
      </c>
    </row>
    <row r="68" spans="1:6">
      <c r="A68" t="str">
        <f>"T173-26"</f>
        <v>T173-26</v>
      </c>
      <c r="B68" t="str">
        <f t="shared" si="6"/>
        <v>VIA VAL TREBBIA VICINO AL 240-</v>
      </c>
      <c r="C68" t="str">
        <f t="shared" si="7"/>
        <v>5</v>
      </c>
      <c r="D68">
        <v>42</v>
      </c>
      <c r="E68" t="str">
        <f>"1857"</f>
        <v>1857</v>
      </c>
      <c r="F68" t="str">
        <f t="shared" si="5"/>
        <v>0000</v>
      </c>
    </row>
    <row r="69" spans="1:6">
      <c r="A69" t="str">
        <f>"T174-1"</f>
        <v>T174-1</v>
      </c>
      <c r="B69" t="str">
        <f>"VIA TERPI VICINO AL 24-"</f>
        <v>VIA TERPI VICINO AL 24-</v>
      </c>
      <c r="C69" t="str">
        <f t="shared" si="7"/>
        <v>5</v>
      </c>
      <c r="D69">
        <v>41</v>
      </c>
      <c r="E69" t="str">
        <f>"927"</f>
        <v>927</v>
      </c>
      <c r="F69" t="str">
        <f t="shared" si="5"/>
        <v>0000</v>
      </c>
    </row>
    <row r="70" spans="1:6">
      <c r="A70" t="str">
        <f>"T175-1"</f>
        <v>T175-1</v>
      </c>
      <c r="B70" t="str">
        <f>"VIA TERPI VICINO AL 49-"</f>
        <v>VIA TERPI VICINO AL 49-</v>
      </c>
      <c r="C70" t="str">
        <f t="shared" si="7"/>
        <v>5</v>
      </c>
      <c r="D70">
        <v>41</v>
      </c>
      <c r="E70" t="str">
        <f>"99999"</f>
        <v>99999</v>
      </c>
      <c r="F70" t="str">
        <f t="shared" si="5"/>
        <v>0000</v>
      </c>
    </row>
    <row r="71" spans="1:6">
      <c r="A71" t="str">
        <f>"T176-1"</f>
        <v>T176-1</v>
      </c>
      <c r="B71" t="str">
        <f>"VIA SERINO VICINO AL 30-"</f>
        <v>VIA SERINO VICINO AL 30-</v>
      </c>
      <c r="C71" t="str">
        <f t="shared" si="7"/>
        <v>5</v>
      </c>
      <c r="D71">
        <v>44</v>
      </c>
      <c r="E71" t="str">
        <f>"354"</f>
        <v>354</v>
      </c>
      <c r="F71" t="str">
        <f t="shared" si="5"/>
        <v>0000</v>
      </c>
    </row>
    <row r="72" spans="1:6">
      <c r="A72" t="str">
        <f>"T176-2"</f>
        <v>T176-2</v>
      </c>
      <c r="B72" t="str">
        <f>"VIA SERINO VICINO AL 30-"</f>
        <v>VIA SERINO VICINO AL 30-</v>
      </c>
      <c r="C72" t="str">
        <f t="shared" si="7"/>
        <v>5</v>
      </c>
      <c r="D72">
        <v>44</v>
      </c>
      <c r="E72" t="str">
        <f>"355"</f>
        <v>355</v>
      </c>
      <c r="F72" t="str">
        <f t="shared" si="5"/>
        <v>0000</v>
      </c>
    </row>
    <row r="73" spans="1:6">
      <c r="A73" t="str">
        <f>"T181-1"</f>
        <v>T181-1</v>
      </c>
      <c r="B73" t="str">
        <f>"VIA PIACENZA VICINO AL 20-"</f>
        <v>VIA PIACENZA VICINO AL 20-</v>
      </c>
      <c r="C73" t="str">
        <f>"STA"</f>
        <v>STA</v>
      </c>
      <c r="D73">
        <v>26</v>
      </c>
      <c r="E73" t="str">
        <f>"248"</f>
        <v>248</v>
      </c>
      <c r="F73" t="str">
        <f t="shared" si="5"/>
        <v>0000</v>
      </c>
    </row>
    <row r="74" spans="1:6">
      <c r="A74" t="str">
        <f>"T182-1"</f>
        <v>T182-1</v>
      </c>
      <c r="B74" t="str">
        <f>"VIA BOBBIO VICINO AL 54-"</f>
        <v>VIA BOBBIO VICINO AL 54-</v>
      </c>
      <c r="C74" t="str">
        <f>"1"</f>
        <v>1</v>
      </c>
      <c r="D74">
        <v>8</v>
      </c>
      <c r="E74" t="str">
        <f>"281"</f>
        <v>281</v>
      </c>
      <c r="F74" t="str">
        <f t="shared" si="5"/>
        <v>0000</v>
      </c>
    </row>
    <row r="75" spans="1:6">
      <c r="A75" t="str">
        <f>"T182-2"</f>
        <v>T182-2</v>
      </c>
      <c r="B75" t="str">
        <f>"VIA BOBBIO VICINO AL 54-"</f>
        <v>VIA BOBBIO VICINO AL 54-</v>
      </c>
      <c r="C75" t="str">
        <f>"1"</f>
        <v>1</v>
      </c>
      <c r="D75">
        <v>8</v>
      </c>
      <c r="E75" t="str">
        <f>"289"</f>
        <v>289</v>
      </c>
      <c r="F75" t="str">
        <f t="shared" si="5"/>
        <v>0000</v>
      </c>
    </row>
    <row r="76" spans="1:6">
      <c r="A76" t="str">
        <f>"T183-1"</f>
        <v>T183-1</v>
      </c>
      <c r="B76" t="str">
        <f>"VIA MOLASSANA VICINO AL 25-"</f>
        <v>VIA MOLASSANA VICINO AL 25-</v>
      </c>
      <c r="C76" t="str">
        <f>"5"</f>
        <v>5</v>
      </c>
      <c r="D76">
        <v>8</v>
      </c>
      <c r="E76" t="str">
        <f>"251"</f>
        <v>251</v>
      </c>
      <c r="F76" t="str">
        <f t="shared" si="5"/>
        <v>0000</v>
      </c>
    </row>
    <row r="77" spans="1:6">
      <c r="A77" t="str">
        <f>"T184-1"</f>
        <v>T184-1</v>
      </c>
      <c r="B77" t="str">
        <f>"VIA MOLASSANA VICINO AL 92A-"</f>
        <v>VIA MOLASSANA VICINO AL 92A-</v>
      </c>
      <c r="C77" t="str">
        <f>"5"</f>
        <v>5</v>
      </c>
      <c r="D77">
        <v>9</v>
      </c>
      <c r="E77" t="str">
        <f>"714"</f>
        <v>714</v>
      </c>
      <c r="F77" t="str">
        <f t="shared" si="5"/>
        <v>0000</v>
      </c>
    </row>
    <row r="78" spans="1:6">
      <c r="A78" t="str">
        <f>"T185-1"</f>
        <v>T185-1</v>
      </c>
      <c r="B78" t="str">
        <f>"VIA MOLASSANA VICINO AL 110C-"</f>
        <v>VIA MOLASSANA VICINO AL 110C-</v>
      </c>
      <c r="C78" t="str">
        <f>"5"</f>
        <v>5</v>
      </c>
      <c r="D78">
        <v>9</v>
      </c>
      <c r="E78" t="str">
        <f>"715"</f>
        <v>715</v>
      </c>
      <c r="F78" t="str">
        <f t="shared" si="5"/>
        <v>0000</v>
      </c>
    </row>
    <row r="79" spans="1:6">
      <c r="A79" t="str">
        <f>"T186-1"</f>
        <v>T186-1</v>
      </c>
      <c r="B79" t="str">
        <f>"VIA STRUPPA VICINO AL 18-"</f>
        <v>VIA STRUPPA VICINO AL 18-</v>
      </c>
      <c r="C79" t="str">
        <f>"5"</f>
        <v>5</v>
      </c>
      <c r="D79">
        <v>30</v>
      </c>
      <c r="E79" t="str">
        <f>"149"</f>
        <v>149</v>
      </c>
      <c r="F79" t="str">
        <f t="shared" si="5"/>
        <v>0000</v>
      </c>
    </row>
    <row r="80" spans="1:6">
      <c r="A80" t="str">
        <f>"T187-1"</f>
        <v>T187-1</v>
      </c>
      <c r="B80" t="str">
        <f>"VIA SAN BENO VICINO AL 1-"</f>
        <v>VIA SAN BENO VICINO AL 1-</v>
      </c>
      <c r="C80" t="str">
        <f t="shared" ref="C80:C114" si="8">"1"</f>
        <v>1</v>
      </c>
      <c r="D80">
        <v>2</v>
      </c>
      <c r="E80" t="str">
        <f>"219"</f>
        <v>219</v>
      </c>
      <c r="F80" t="str">
        <f t="shared" si="5"/>
        <v>0000</v>
      </c>
    </row>
    <row r="81" spans="1:6">
      <c r="A81" t="str">
        <f>"T187-2"</f>
        <v>T187-2</v>
      </c>
      <c r="B81" t="str">
        <f>"VIA SAN BENO VICINO AL 1-"</f>
        <v>VIA SAN BENO VICINO AL 1-</v>
      </c>
      <c r="C81" t="str">
        <f t="shared" si="8"/>
        <v>1</v>
      </c>
      <c r="D81">
        <v>2</v>
      </c>
      <c r="E81" t="str">
        <f>"698"</f>
        <v>698</v>
      </c>
      <c r="F81" t="str">
        <f t="shared" si="5"/>
        <v>0000</v>
      </c>
    </row>
    <row r="82" spans="1:6">
      <c r="A82" t="str">
        <f>"T188-1"</f>
        <v>T188-1</v>
      </c>
      <c r="B82" t="str">
        <f t="shared" ref="B82:B98" si="9">"FOSSATO DI CICALA VICINO AL 11-"</f>
        <v>FOSSATO DI CICALA VICINO AL 11-</v>
      </c>
      <c r="C82" t="str">
        <f t="shared" si="8"/>
        <v>1</v>
      </c>
      <c r="D82">
        <v>2</v>
      </c>
      <c r="E82" t="str">
        <f>"198"</f>
        <v>198</v>
      </c>
      <c r="F82" t="str">
        <f t="shared" si="5"/>
        <v>0000</v>
      </c>
    </row>
    <row r="83" spans="1:6">
      <c r="A83" t="str">
        <f>"T188-2"</f>
        <v>T188-2</v>
      </c>
      <c r="B83" t="str">
        <f t="shared" si="9"/>
        <v>FOSSATO DI CICALA VICINO AL 11-</v>
      </c>
      <c r="C83" t="str">
        <f t="shared" si="8"/>
        <v>1</v>
      </c>
      <c r="D83">
        <v>1</v>
      </c>
      <c r="E83" t="str">
        <f>"325"</f>
        <v>325</v>
      </c>
      <c r="F83" t="str">
        <f t="shared" si="5"/>
        <v>0000</v>
      </c>
    </row>
    <row r="84" spans="1:6">
      <c r="A84" t="str">
        <f>"T188-3"</f>
        <v>T188-3</v>
      </c>
      <c r="B84" t="str">
        <f t="shared" si="9"/>
        <v>FOSSATO DI CICALA VICINO AL 11-</v>
      </c>
      <c r="C84" t="str">
        <f t="shared" si="8"/>
        <v>1</v>
      </c>
      <c r="D84">
        <v>1</v>
      </c>
      <c r="E84" t="str">
        <f>"324"</f>
        <v>324</v>
      </c>
      <c r="F84" t="str">
        <f t="shared" si="5"/>
        <v>0000</v>
      </c>
    </row>
    <row r="85" spans="1:6">
      <c r="A85" t="str">
        <f>"T188-4"</f>
        <v>T188-4</v>
      </c>
      <c r="B85" t="str">
        <f t="shared" si="9"/>
        <v>FOSSATO DI CICALA VICINO AL 11-</v>
      </c>
      <c r="C85" t="str">
        <f t="shared" si="8"/>
        <v>1</v>
      </c>
      <c r="D85">
        <v>1</v>
      </c>
      <c r="E85" t="str">
        <f>"323"</f>
        <v>323</v>
      </c>
      <c r="F85" t="str">
        <f t="shared" si="5"/>
        <v>0000</v>
      </c>
    </row>
    <row r="86" spans="1:6">
      <c r="A86" t="str">
        <f>"T188-5"</f>
        <v>T188-5</v>
      </c>
      <c r="B86" t="str">
        <f t="shared" si="9"/>
        <v>FOSSATO DI CICALA VICINO AL 11-</v>
      </c>
      <c r="C86" t="str">
        <f t="shared" si="8"/>
        <v>1</v>
      </c>
      <c r="D86">
        <v>2</v>
      </c>
      <c r="E86" t="str">
        <f>"322"</f>
        <v>322</v>
      </c>
      <c r="F86" t="str">
        <f t="shared" si="5"/>
        <v>0000</v>
      </c>
    </row>
    <row r="87" spans="1:6">
      <c r="A87" t="str">
        <f>"T189-1"</f>
        <v>T189-1</v>
      </c>
      <c r="B87" t="str">
        <f t="shared" si="9"/>
        <v>FOSSATO DI CICALA VICINO AL 11-</v>
      </c>
      <c r="C87" t="str">
        <f t="shared" si="8"/>
        <v>1</v>
      </c>
      <c r="D87">
        <v>1</v>
      </c>
      <c r="E87" t="str">
        <f>"320"</f>
        <v>320</v>
      </c>
      <c r="F87" t="str">
        <f t="shared" si="5"/>
        <v>0000</v>
      </c>
    </row>
    <row r="88" spans="1:6">
      <c r="A88" t="str">
        <f>"T189-2"</f>
        <v>T189-2</v>
      </c>
      <c r="B88" t="str">
        <f t="shared" si="9"/>
        <v>FOSSATO DI CICALA VICINO AL 11-</v>
      </c>
      <c r="C88" t="str">
        <f t="shared" si="8"/>
        <v>1</v>
      </c>
      <c r="D88">
        <v>1</v>
      </c>
      <c r="E88" t="str">
        <f>"321"</f>
        <v>321</v>
      </c>
      <c r="F88" t="str">
        <f t="shared" si="5"/>
        <v>0000</v>
      </c>
    </row>
    <row r="89" spans="1:6">
      <c r="A89" t="str">
        <f>"T189-3"</f>
        <v>T189-3</v>
      </c>
      <c r="B89" t="str">
        <f t="shared" si="9"/>
        <v>FOSSATO DI CICALA VICINO AL 11-</v>
      </c>
      <c r="C89" t="str">
        <f t="shared" si="8"/>
        <v>1</v>
      </c>
      <c r="D89">
        <v>1</v>
      </c>
      <c r="E89" t="str">
        <f>"322"</f>
        <v>322</v>
      </c>
      <c r="F89" t="str">
        <f t="shared" si="5"/>
        <v>0000</v>
      </c>
    </row>
    <row r="90" spans="1:6">
      <c r="A90" t="str">
        <f>"T189-4"</f>
        <v>T189-4</v>
      </c>
      <c r="B90" t="str">
        <f t="shared" si="9"/>
        <v>FOSSATO DI CICALA VICINO AL 11-</v>
      </c>
      <c r="C90" t="str">
        <f t="shared" si="8"/>
        <v>1</v>
      </c>
      <c r="D90">
        <v>1</v>
      </c>
      <c r="E90" t="str">
        <f>"323"</f>
        <v>323</v>
      </c>
      <c r="F90" t="str">
        <f t="shared" si="5"/>
        <v>0000</v>
      </c>
    </row>
    <row r="91" spans="1:6">
      <c r="A91" t="str">
        <f>"T189-5"</f>
        <v>T189-5</v>
      </c>
      <c r="B91" t="str">
        <f t="shared" si="9"/>
        <v>FOSSATO DI CICALA VICINO AL 11-</v>
      </c>
      <c r="C91" t="str">
        <f t="shared" si="8"/>
        <v>1</v>
      </c>
      <c r="D91">
        <v>1</v>
      </c>
      <c r="E91" t="str">
        <f>"324"</f>
        <v>324</v>
      </c>
      <c r="F91" t="str">
        <f t="shared" si="5"/>
        <v>0000</v>
      </c>
    </row>
    <row r="92" spans="1:6">
      <c r="A92" t="str">
        <f>"T189-6"</f>
        <v>T189-6</v>
      </c>
      <c r="B92" t="str">
        <f t="shared" si="9"/>
        <v>FOSSATO DI CICALA VICINO AL 11-</v>
      </c>
      <c r="C92" t="str">
        <f t="shared" si="8"/>
        <v>1</v>
      </c>
      <c r="D92">
        <v>4</v>
      </c>
      <c r="E92" t="str">
        <f>"100"</f>
        <v>100</v>
      </c>
      <c r="F92" t="str">
        <f t="shared" si="5"/>
        <v>0000</v>
      </c>
    </row>
    <row r="93" spans="1:6">
      <c r="A93" t="str">
        <f>"T189-7"</f>
        <v>T189-7</v>
      </c>
      <c r="B93" t="str">
        <f t="shared" si="9"/>
        <v>FOSSATO DI CICALA VICINO AL 11-</v>
      </c>
      <c r="C93" t="str">
        <f t="shared" si="8"/>
        <v>1</v>
      </c>
      <c r="D93">
        <v>2</v>
      </c>
      <c r="E93" t="str">
        <f>"315"</f>
        <v>315</v>
      </c>
      <c r="F93" t="str">
        <f t="shared" si="5"/>
        <v>0000</v>
      </c>
    </row>
    <row r="94" spans="1:6">
      <c r="A94" t="str">
        <f>"T189-8"</f>
        <v>T189-8</v>
      </c>
      <c r="B94" t="str">
        <f t="shared" si="9"/>
        <v>FOSSATO DI CICALA VICINO AL 11-</v>
      </c>
      <c r="C94" t="str">
        <f t="shared" si="8"/>
        <v>1</v>
      </c>
      <c r="D94">
        <v>2</v>
      </c>
      <c r="E94" t="str">
        <f>"316"</f>
        <v>316</v>
      </c>
      <c r="F94" t="str">
        <f t="shared" si="5"/>
        <v>0000</v>
      </c>
    </row>
    <row r="95" spans="1:6">
      <c r="A95" t="str">
        <f>"T189-12"</f>
        <v>T189-12</v>
      </c>
      <c r="B95" t="str">
        <f t="shared" si="9"/>
        <v>FOSSATO DI CICALA VICINO AL 11-</v>
      </c>
      <c r="C95" t="str">
        <f t="shared" si="8"/>
        <v>1</v>
      </c>
      <c r="D95">
        <v>2</v>
      </c>
      <c r="E95" t="str">
        <f>"322"</f>
        <v>322</v>
      </c>
      <c r="F95" t="str">
        <f t="shared" si="5"/>
        <v>0000</v>
      </c>
    </row>
    <row r="96" spans="1:6">
      <c r="A96" t="str">
        <f>"T189-24"</f>
        <v>T189-24</v>
      </c>
      <c r="B96" t="str">
        <f t="shared" si="9"/>
        <v>FOSSATO DI CICALA VICINO AL 11-</v>
      </c>
      <c r="C96" t="str">
        <f t="shared" si="8"/>
        <v>1</v>
      </c>
      <c r="D96">
        <v>2</v>
      </c>
      <c r="E96" t="str">
        <f>"465"</f>
        <v>465</v>
      </c>
      <c r="F96" t="str">
        <f t="shared" si="5"/>
        <v>0000</v>
      </c>
    </row>
    <row r="97" spans="1:6">
      <c r="A97" t="str">
        <f>"T189-27"</f>
        <v>T189-27</v>
      </c>
      <c r="B97" t="str">
        <f t="shared" si="9"/>
        <v>FOSSATO DI CICALA VICINO AL 11-</v>
      </c>
      <c r="C97" t="str">
        <f t="shared" si="8"/>
        <v>1</v>
      </c>
      <c r="D97">
        <v>4</v>
      </c>
      <c r="E97" t="str">
        <f>"38"</f>
        <v>38</v>
      </c>
      <c r="F97" t="str">
        <f t="shared" si="5"/>
        <v>0000</v>
      </c>
    </row>
    <row r="98" spans="1:6">
      <c r="A98" t="str">
        <f>"T189-28"</f>
        <v>T189-28</v>
      </c>
      <c r="B98" t="str">
        <f t="shared" si="9"/>
        <v>FOSSATO DI CICALA VICINO AL 11-</v>
      </c>
      <c r="C98" t="str">
        <f t="shared" si="8"/>
        <v>1</v>
      </c>
      <c r="D98">
        <v>2</v>
      </c>
      <c r="E98" t="str">
        <f>"466"</f>
        <v>466</v>
      </c>
      <c r="F98" t="str">
        <f t="shared" si="5"/>
        <v>0000</v>
      </c>
    </row>
    <row r="99" spans="1:6">
      <c r="A99" t="str">
        <f>"T190-1"</f>
        <v>T190-1</v>
      </c>
      <c r="B99" t="str">
        <f>"SALITA MOLINI DI CICALA VICINO AL 10-"</f>
        <v>SALITA MOLINI DI CICALA VICINO AL 10-</v>
      </c>
      <c r="C99" t="str">
        <f t="shared" si="8"/>
        <v>1</v>
      </c>
      <c r="D99">
        <v>2</v>
      </c>
      <c r="E99" t="str">
        <f>"469"</f>
        <v>469</v>
      </c>
      <c r="F99" t="str">
        <f t="shared" si="5"/>
        <v>0000</v>
      </c>
    </row>
    <row r="100" spans="1:6">
      <c r="A100" t="str">
        <f>"T190-2"</f>
        <v>T190-2</v>
      </c>
      <c r="B100" t="str">
        <f>"SALITA MOLINI DI CICALA VICINO AL 10-"</f>
        <v>SALITA MOLINI DI CICALA VICINO AL 10-</v>
      </c>
      <c r="C100" t="str">
        <f t="shared" si="8"/>
        <v>1</v>
      </c>
      <c r="D100">
        <v>2</v>
      </c>
      <c r="E100" t="str">
        <f>"471"</f>
        <v>471</v>
      </c>
      <c r="F100" t="str">
        <f t="shared" si="5"/>
        <v>0000</v>
      </c>
    </row>
    <row r="101" spans="1:6">
      <c r="A101" t="str">
        <f>"T191-1"</f>
        <v>T191-1</v>
      </c>
      <c r="B101" t="str">
        <f>"SALITA PRELI VICINO AL 65-"</f>
        <v>SALITA PRELI VICINO AL 65-</v>
      </c>
      <c r="C101" t="str">
        <f t="shared" si="8"/>
        <v>1</v>
      </c>
      <c r="D101">
        <v>5</v>
      </c>
      <c r="E101" t="str">
        <f>"47"</f>
        <v>47</v>
      </c>
      <c r="F101" t="str">
        <f t="shared" si="5"/>
        <v>0000</v>
      </c>
    </row>
    <row r="102" spans="1:6">
      <c r="A102" t="str">
        <f>"T192-1"</f>
        <v>T192-1</v>
      </c>
      <c r="B102" t="str">
        <f>"SALITA MOLINI DI CICALA VICINO AL 10-"</f>
        <v>SALITA MOLINI DI CICALA VICINO AL 10-</v>
      </c>
      <c r="C102" t="str">
        <f t="shared" si="8"/>
        <v>1</v>
      </c>
      <c r="D102">
        <v>2</v>
      </c>
      <c r="E102" t="str">
        <f>"472"</f>
        <v>472</v>
      </c>
      <c r="F102" t="str">
        <f t="shared" si="5"/>
        <v>0000</v>
      </c>
    </row>
    <row r="103" spans="1:6">
      <c r="A103" t="str">
        <f>"T192-2"</f>
        <v>T192-2</v>
      </c>
      <c r="B103" t="str">
        <f>"SALITA MOLINI DI CICALA VICINO AL 10-"</f>
        <v>SALITA MOLINI DI CICALA VICINO AL 10-</v>
      </c>
      <c r="C103" t="str">
        <f t="shared" si="8"/>
        <v>1</v>
      </c>
      <c r="D103">
        <v>2</v>
      </c>
      <c r="E103" t="str">
        <f>"722"</f>
        <v>722</v>
      </c>
      <c r="F103" t="str">
        <f t="shared" si="5"/>
        <v>0000</v>
      </c>
    </row>
    <row r="104" spans="1:6">
      <c r="A104" t="str">
        <f>"T193-1"</f>
        <v>T193-1</v>
      </c>
      <c r="B104" t="str">
        <f t="shared" ref="B104:B114" si="10">"VIA LODI VICINO AL 252-"</f>
        <v>VIA LODI VICINO AL 252-</v>
      </c>
      <c r="C104" t="str">
        <f t="shared" si="8"/>
        <v>1</v>
      </c>
      <c r="D104">
        <v>5</v>
      </c>
      <c r="E104" t="str">
        <f>"280"</f>
        <v>280</v>
      </c>
      <c r="F104" t="str">
        <f t="shared" si="5"/>
        <v>0000</v>
      </c>
    </row>
    <row r="105" spans="1:6">
      <c r="A105" t="str">
        <f>"T193-6"</f>
        <v>T193-6</v>
      </c>
      <c r="B105" t="str">
        <f t="shared" si="10"/>
        <v>VIA LODI VICINO AL 252-</v>
      </c>
      <c r="C105" t="str">
        <f t="shared" si="8"/>
        <v>1</v>
      </c>
      <c r="D105">
        <v>4</v>
      </c>
      <c r="E105" t="str">
        <f>"419"</f>
        <v>419</v>
      </c>
      <c r="F105" t="str">
        <f t="shared" si="5"/>
        <v>0000</v>
      </c>
    </row>
    <row r="106" spans="1:6">
      <c r="A106" t="str">
        <f>"T193-7"</f>
        <v>T193-7</v>
      </c>
      <c r="B106" t="str">
        <f t="shared" si="10"/>
        <v>VIA LODI VICINO AL 252-</v>
      </c>
      <c r="C106" t="str">
        <f t="shared" si="8"/>
        <v>1</v>
      </c>
      <c r="D106">
        <v>4</v>
      </c>
      <c r="E106" t="str">
        <f>"587"</f>
        <v>587</v>
      </c>
      <c r="F106" t="str">
        <f t="shared" si="5"/>
        <v>0000</v>
      </c>
    </row>
    <row r="107" spans="1:6">
      <c r="A107" t="str">
        <f>"T193-8"</f>
        <v>T193-8</v>
      </c>
      <c r="B107" t="str">
        <f t="shared" si="10"/>
        <v>VIA LODI VICINO AL 252-</v>
      </c>
      <c r="C107" t="str">
        <f t="shared" si="8"/>
        <v>1</v>
      </c>
      <c r="D107">
        <v>4</v>
      </c>
      <c r="E107" t="str">
        <f>"429"</f>
        <v>429</v>
      </c>
      <c r="F107" t="str">
        <f t="shared" si="5"/>
        <v>0000</v>
      </c>
    </row>
    <row r="108" spans="1:6">
      <c r="A108" t="str">
        <f>"T193-9"</f>
        <v>T193-9</v>
      </c>
      <c r="B108" t="str">
        <f t="shared" si="10"/>
        <v>VIA LODI VICINO AL 252-</v>
      </c>
      <c r="C108" t="str">
        <f t="shared" si="8"/>
        <v>1</v>
      </c>
      <c r="D108">
        <v>4</v>
      </c>
      <c r="E108" t="str">
        <f>"427"</f>
        <v>427</v>
      </c>
      <c r="F108" t="str">
        <f t="shared" ref="F108:F171" si="11">"0000"</f>
        <v>0000</v>
      </c>
    </row>
    <row r="109" spans="1:6">
      <c r="A109" t="str">
        <f>"T193-10"</f>
        <v>T193-10</v>
      </c>
      <c r="B109" t="str">
        <f t="shared" si="10"/>
        <v>VIA LODI VICINO AL 252-</v>
      </c>
      <c r="C109" t="str">
        <f t="shared" si="8"/>
        <v>1</v>
      </c>
      <c r="D109">
        <v>4</v>
      </c>
      <c r="E109" t="str">
        <f>"428"</f>
        <v>428</v>
      </c>
      <c r="F109" t="str">
        <f t="shared" si="11"/>
        <v>0000</v>
      </c>
    </row>
    <row r="110" spans="1:6">
      <c r="A110" t="str">
        <f>"T193-11"</f>
        <v>T193-11</v>
      </c>
      <c r="B110" t="str">
        <f t="shared" si="10"/>
        <v>VIA LODI VICINO AL 252-</v>
      </c>
      <c r="C110" t="str">
        <f t="shared" si="8"/>
        <v>1</v>
      </c>
      <c r="D110">
        <v>4</v>
      </c>
      <c r="E110" t="str">
        <f>"430"</f>
        <v>430</v>
      </c>
      <c r="F110" t="str">
        <f t="shared" si="11"/>
        <v>0000</v>
      </c>
    </row>
    <row r="111" spans="1:6">
      <c r="A111" t="str">
        <f>"T193-12"</f>
        <v>T193-12</v>
      </c>
      <c r="B111" t="str">
        <f t="shared" si="10"/>
        <v>VIA LODI VICINO AL 252-</v>
      </c>
      <c r="C111" t="str">
        <f t="shared" si="8"/>
        <v>1</v>
      </c>
      <c r="D111">
        <v>4</v>
      </c>
      <c r="E111" t="str">
        <f>"431"</f>
        <v>431</v>
      </c>
      <c r="F111" t="str">
        <f t="shared" si="11"/>
        <v>0000</v>
      </c>
    </row>
    <row r="112" spans="1:6">
      <c r="A112" t="str">
        <f>"T193-13"</f>
        <v>T193-13</v>
      </c>
      <c r="B112" t="str">
        <f t="shared" si="10"/>
        <v>VIA LODI VICINO AL 252-</v>
      </c>
      <c r="C112" t="str">
        <f t="shared" si="8"/>
        <v>1</v>
      </c>
      <c r="D112">
        <v>4</v>
      </c>
      <c r="E112" t="str">
        <f>"628"</f>
        <v>628</v>
      </c>
      <c r="F112" t="str">
        <f t="shared" si="11"/>
        <v>0000</v>
      </c>
    </row>
    <row r="113" spans="1:6">
      <c r="A113" t="str">
        <f>"T193-14"</f>
        <v>T193-14</v>
      </c>
      <c r="B113" t="str">
        <f t="shared" si="10"/>
        <v>VIA LODI VICINO AL 252-</v>
      </c>
      <c r="C113" t="str">
        <f t="shared" si="8"/>
        <v>1</v>
      </c>
      <c r="D113">
        <v>4</v>
      </c>
      <c r="E113" t="str">
        <f>"443"</f>
        <v>443</v>
      </c>
      <c r="F113" t="str">
        <f t="shared" si="11"/>
        <v>0000</v>
      </c>
    </row>
    <row r="114" spans="1:6">
      <c r="A114" t="str">
        <f>"T193-15"</f>
        <v>T193-15</v>
      </c>
      <c r="B114" t="str">
        <f t="shared" si="10"/>
        <v>VIA LODI VICINO AL 252-</v>
      </c>
      <c r="C114" t="str">
        <f t="shared" si="8"/>
        <v>1</v>
      </c>
      <c r="D114">
        <v>4</v>
      </c>
      <c r="E114" t="str">
        <f>"494"</f>
        <v>494</v>
      </c>
      <c r="F114" t="str">
        <f t="shared" si="11"/>
        <v>0000</v>
      </c>
    </row>
    <row r="115" spans="1:6">
      <c r="A115" t="str">
        <f>"T194-1"</f>
        <v>T194-1</v>
      </c>
      <c r="B115" t="str">
        <f>"VIA MONTELUNGO VICINO AL 4-"</f>
        <v>VIA MONTELUNGO VICINO AL 4-</v>
      </c>
      <c r="C115" t="str">
        <f>"5"</f>
        <v>5</v>
      </c>
      <c r="D115">
        <v>39</v>
      </c>
      <c r="E115" t="str">
        <f>"172"</f>
        <v>172</v>
      </c>
      <c r="F115" t="str">
        <f t="shared" si="11"/>
        <v>0000</v>
      </c>
    </row>
    <row r="116" spans="1:6">
      <c r="A116" t="str">
        <f>"T195-1"</f>
        <v>T195-1</v>
      </c>
      <c r="B116" t="str">
        <f>"VIA CA DE MUSSI VICINO AL 4-"</f>
        <v>VIA CA DE MUSSI VICINO AL 4-</v>
      </c>
      <c r="C116" t="str">
        <f>"1"</f>
        <v>1</v>
      </c>
      <c r="D116">
        <v>8</v>
      </c>
      <c r="E116" t="str">
        <f>"253"</f>
        <v>253</v>
      </c>
      <c r="F116" t="str">
        <f t="shared" si="11"/>
        <v>0000</v>
      </c>
    </row>
    <row r="117" spans="1:6">
      <c r="A117" t="str">
        <f>"T196-1"</f>
        <v>T196-1</v>
      </c>
      <c r="B117" t="str">
        <f t="shared" ref="B117:B133" si="12">"PASSO RIO CANATE VICINO AL 3-"</f>
        <v>PASSO RIO CANATE VICINO AL 3-</v>
      </c>
      <c r="C117" t="str">
        <f t="shared" ref="C117:C122" si="13">"5"</f>
        <v>5</v>
      </c>
      <c r="D117">
        <v>12</v>
      </c>
      <c r="E117" t="str">
        <f>"101"</f>
        <v>101</v>
      </c>
      <c r="F117" t="str">
        <f t="shared" si="11"/>
        <v>0000</v>
      </c>
    </row>
    <row r="118" spans="1:6">
      <c r="A118" t="str">
        <f>"T196-2"</f>
        <v>T196-2</v>
      </c>
      <c r="B118" t="str">
        <f t="shared" si="12"/>
        <v>PASSO RIO CANATE VICINO AL 3-</v>
      </c>
      <c r="C118" t="str">
        <f t="shared" si="13"/>
        <v>5</v>
      </c>
      <c r="D118">
        <v>12</v>
      </c>
      <c r="E118" t="str">
        <f>"103"</f>
        <v>103</v>
      </c>
      <c r="F118" t="str">
        <f t="shared" si="11"/>
        <v>0000</v>
      </c>
    </row>
    <row r="119" spans="1:6">
      <c r="A119" t="str">
        <f>"T196-3"</f>
        <v>T196-3</v>
      </c>
      <c r="B119" t="str">
        <f t="shared" si="12"/>
        <v>PASSO RIO CANATE VICINO AL 3-</v>
      </c>
      <c r="C119" t="str">
        <f t="shared" si="13"/>
        <v>5</v>
      </c>
      <c r="D119">
        <v>19</v>
      </c>
      <c r="E119" t="str">
        <f>"170"</f>
        <v>170</v>
      </c>
      <c r="F119" t="str">
        <f t="shared" si="11"/>
        <v>0000</v>
      </c>
    </row>
    <row r="120" spans="1:6">
      <c r="A120" t="str">
        <f>"T196-4"</f>
        <v>T196-4</v>
      </c>
      <c r="B120" t="str">
        <f t="shared" si="12"/>
        <v>PASSO RIO CANATE VICINO AL 3-</v>
      </c>
      <c r="C120" t="str">
        <f t="shared" si="13"/>
        <v>5</v>
      </c>
      <c r="D120">
        <v>19</v>
      </c>
      <c r="E120" t="str">
        <f>"171"</f>
        <v>171</v>
      </c>
      <c r="F120" t="str">
        <f t="shared" si="11"/>
        <v>0000</v>
      </c>
    </row>
    <row r="121" spans="1:6">
      <c r="A121" t="str">
        <f>"T196-5"</f>
        <v>T196-5</v>
      </c>
      <c r="B121" t="str">
        <f t="shared" si="12"/>
        <v>PASSO RIO CANATE VICINO AL 3-</v>
      </c>
      <c r="C121" t="str">
        <f t="shared" si="13"/>
        <v>5</v>
      </c>
      <c r="D121">
        <v>19</v>
      </c>
      <c r="E121" t="str">
        <f>"264"</f>
        <v>264</v>
      </c>
      <c r="F121" t="str">
        <f t="shared" si="11"/>
        <v>0000</v>
      </c>
    </row>
    <row r="122" spans="1:6">
      <c r="A122" t="str">
        <f>"T196-6"</f>
        <v>T196-6</v>
      </c>
      <c r="B122" t="str">
        <f t="shared" si="12"/>
        <v>PASSO RIO CANATE VICINO AL 3-</v>
      </c>
      <c r="C122" t="str">
        <f t="shared" si="13"/>
        <v>5</v>
      </c>
      <c r="D122">
        <v>19</v>
      </c>
      <c r="E122" t="str">
        <f>"265"</f>
        <v>265</v>
      </c>
      <c r="F122" t="str">
        <f t="shared" si="11"/>
        <v>0000</v>
      </c>
    </row>
    <row r="123" spans="1:6">
      <c r="A123" t="str">
        <f>"T196-8"</f>
        <v>T196-8</v>
      </c>
      <c r="B123" t="str">
        <f t="shared" si="12"/>
        <v>PASSO RIO CANATE VICINO AL 3-</v>
      </c>
      <c r="C123" t="str">
        <f>"U"</f>
        <v>U</v>
      </c>
      <c r="D123">
        <v>23</v>
      </c>
      <c r="E123" t="str">
        <f>"231"</f>
        <v>231</v>
      </c>
      <c r="F123" t="str">
        <f t="shared" si="11"/>
        <v>0000</v>
      </c>
    </row>
    <row r="124" spans="1:6">
      <c r="A124" t="str">
        <f>"T196-9"</f>
        <v>T196-9</v>
      </c>
      <c r="B124" t="str">
        <f t="shared" si="12"/>
        <v>PASSO RIO CANATE VICINO AL 3-</v>
      </c>
      <c r="C124" t="str">
        <f>"U"</f>
        <v>U</v>
      </c>
      <c r="D124">
        <v>23</v>
      </c>
      <c r="E124" t="str">
        <f>"230"</f>
        <v>230</v>
      </c>
      <c r="F124" t="str">
        <f t="shared" si="11"/>
        <v>0000</v>
      </c>
    </row>
    <row r="125" spans="1:6">
      <c r="A125" t="str">
        <f>"T196-10"</f>
        <v>T196-10</v>
      </c>
      <c r="B125" t="str">
        <f t="shared" si="12"/>
        <v>PASSO RIO CANATE VICINO AL 3-</v>
      </c>
      <c r="C125" t="str">
        <f>"U"</f>
        <v>U</v>
      </c>
      <c r="D125">
        <v>23</v>
      </c>
      <c r="E125" t="str">
        <f>"269"</f>
        <v>269</v>
      </c>
      <c r="F125" t="str">
        <f t="shared" si="11"/>
        <v>0000</v>
      </c>
    </row>
    <row r="126" spans="1:6">
      <c r="A126" t="str">
        <f>"T196-12"</f>
        <v>T196-12</v>
      </c>
      <c r="B126" t="str">
        <f t="shared" si="12"/>
        <v>PASSO RIO CANATE VICINO AL 3-</v>
      </c>
      <c r="C126" t="str">
        <f>"U"</f>
        <v>U</v>
      </c>
      <c r="D126">
        <v>23</v>
      </c>
      <c r="E126" t="str">
        <f>"267"</f>
        <v>267</v>
      </c>
      <c r="F126" t="str">
        <f t="shared" si="11"/>
        <v>0000</v>
      </c>
    </row>
    <row r="127" spans="1:6">
      <c r="A127" t="str">
        <f>"T196-13"</f>
        <v>T196-13</v>
      </c>
      <c r="B127" t="str">
        <f t="shared" si="12"/>
        <v>PASSO RIO CANATE VICINO AL 3-</v>
      </c>
      <c r="C127" t="str">
        <f>"U"</f>
        <v>U</v>
      </c>
      <c r="D127">
        <v>19</v>
      </c>
      <c r="E127" t="str">
        <f>"169"</f>
        <v>169</v>
      </c>
      <c r="F127" t="str">
        <f t="shared" si="11"/>
        <v>0000</v>
      </c>
    </row>
    <row r="128" spans="1:6">
      <c r="A128" t="str">
        <f>"T196-14"</f>
        <v>T196-14</v>
      </c>
      <c r="B128" t="str">
        <f t="shared" si="12"/>
        <v>PASSO RIO CANATE VICINO AL 3-</v>
      </c>
      <c r="C128" t="str">
        <f t="shared" ref="C128:C133" si="14">"5"</f>
        <v>5</v>
      </c>
      <c r="D128">
        <v>19</v>
      </c>
      <c r="E128" t="str">
        <f>"100"</f>
        <v>100</v>
      </c>
      <c r="F128" t="str">
        <f t="shared" si="11"/>
        <v>0000</v>
      </c>
    </row>
    <row r="129" spans="1:6">
      <c r="A129" t="str">
        <f>"T196-15"</f>
        <v>T196-15</v>
      </c>
      <c r="B129" t="str">
        <f t="shared" si="12"/>
        <v>PASSO RIO CANATE VICINO AL 3-</v>
      </c>
      <c r="C129" t="str">
        <f t="shared" si="14"/>
        <v>5</v>
      </c>
      <c r="D129">
        <v>19</v>
      </c>
      <c r="E129" t="str">
        <f>"617"</f>
        <v>617</v>
      </c>
      <c r="F129" t="str">
        <f t="shared" si="11"/>
        <v>0000</v>
      </c>
    </row>
    <row r="130" spans="1:6">
      <c r="A130" t="str">
        <f>"T196-16"</f>
        <v>T196-16</v>
      </c>
      <c r="B130" t="str">
        <f t="shared" si="12"/>
        <v>PASSO RIO CANATE VICINO AL 3-</v>
      </c>
      <c r="C130" t="str">
        <f t="shared" si="14"/>
        <v>5</v>
      </c>
      <c r="D130">
        <v>19</v>
      </c>
      <c r="E130" t="str">
        <f>"102"</f>
        <v>102</v>
      </c>
      <c r="F130" t="str">
        <f t="shared" si="11"/>
        <v>0000</v>
      </c>
    </row>
    <row r="131" spans="1:6">
      <c r="A131" t="str">
        <f>"T196-17"</f>
        <v>T196-17</v>
      </c>
      <c r="B131" t="str">
        <f t="shared" si="12"/>
        <v>PASSO RIO CANATE VICINO AL 3-</v>
      </c>
      <c r="C131" t="str">
        <f t="shared" si="14"/>
        <v>5</v>
      </c>
      <c r="D131">
        <v>12</v>
      </c>
      <c r="E131" t="str">
        <f>"74"</f>
        <v>74</v>
      </c>
      <c r="F131" t="str">
        <f t="shared" si="11"/>
        <v>0000</v>
      </c>
    </row>
    <row r="132" spans="1:6">
      <c r="A132" t="str">
        <f>"T196-18"</f>
        <v>T196-18</v>
      </c>
      <c r="B132" t="str">
        <f t="shared" si="12"/>
        <v>PASSO RIO CANATE VICINO AL 3-</v>
      </c>
      <c r="C132" t="str">
        <f t="shared" si="14"/>
        <v>5</v>
      </c>
      <c r="D132">
        <v>12</v>
      </c>
      <c r="E132" t="str">
        <f>"79"</f>
        <v>79</v>
      </c>
      <c r="F132" t="str">
        <f t="shared" si="11"/>
        <v>0000</v>
      </c>
    </row>
    <row r="133" spans="1:6">
      <c r="A133" t="str">
        <f>"T196-19"</f>
        <v>T196-19</v>
      </c>
      <c r="B133" t="str">
        <f t="shared" si="12"/>
        <v>PASSO RIO CANATE VICINO AL 3-</v>
      </c>
      <c r="C133" t="str">
        <f t="shared" si="14"/>
        <v>5</v>
      </c>
      <c r="D133">
        <v>12</v>
      </c>
      <c r="E133" t="str">
        <f>"86"</f>
        <v>86</v>
      </c>
      <c r="F133" t="str">
        <f t="shared" si="11"/>
        <v>0000</v>
      </c>
    </row>
    <row r="134" spans="1:6">
      <c r="A134" t="str">
        <f>"T197-1"</f>
        <v>T197-1</v>
      </c>
      <c r="B134" t="str">
        <f t="shared" ref="B134:B154" si="15">"SALITA SANT ANTONINO VICINO AL 26A-"</f>
        <v>SALITA SANT ANTONINO VICINO AL 26A-</v>
      </c>
      <c r="C134" t="str">
        <f t="shared" ref="C134:C154" si="16">"1"</f>
        <v>1</v>
      </c>
      <c r="D134">
        <v>8</v>
      </c>
      <c r="E134" t="str">
        <f>"278"</f>
        <v>278</v>
      </c>
      <c r="F134" t="str">
        <f t="shared" si="11"/>
        <v>0000</v>
      </c>
    </row>
    <row r="135" spans="1:6">
      <c r="A135" t="str">
        <f>"T197-2"</f>
        <v>T197-2</v>
      </c>
      <c r="B135" t="str">
        <f t="shared" si="15"/>
        <v>SALITA SANT ANTONINO VICINO AL 26A-</v>
      </c>
      <c r="C135" t="str">
        <f t="shared" si="16"/>
        <v>1</v>
      </c>
      <c r="D135">
        <v>8</v>
      </c>
      <c r="E135" t="str">
        <f>"636"</f>
        <v>636</v>
      </c>
      <c r="F135" t="str">
        <f t="shared" si="11"/>
        <v>0000</v>
      </c>
    </row>
    <row r="136" spans="1:6">
      <c r="A136" t="str">
        <f>"T197-3"</f>
        <v>T197-3</v>
      </c>
      <c r="B136" t="str">
        <f t="shared" si="15"/>
        <v>SALITA SANT ANTONINO VICINO AL 26A-</v>
      </c>
      <c r="C136" t="str">
        <f t="shared" si="16"/>
        <v>1</v>
      </c>
      <c r="D136">
        <v>8</v>
      </c>
      <c r="E136" t="str">
        <f>"632"</f>
        <v>632</v>
      </c>
      <c r="F136" t="str">
        <f t="shared" si="11"/>
        <v>0000</v>
      </c>
    </row>
    <row r="137" spans="1:6">
      <c r="A137" t="str">
        <f>"T197-4"</f>
        <v>T197-4</v>
      </c>
      <c r="B137" t="str">
        <f t="shared" si="15"/>
        <v>SALITA SANT ANTONINO VICINO AL 26A-</v>
      </c>
      <c r="C137" t="str">
        <f t="shared" si="16"/>
        <v>1</v>
      </c>
      <c r="D137">
        <v>8</v>
      </c>
      <c r="E137" t="str">
        <f>"291"</f>
        <v>291</v>
      </c>
      <c r="F137" t="str">
        <f t="shared" si="11"/>
        <v>0000</v>
      </c>
    </row>
    <row r="138" spans="1:6">
      <c r="A138" t="str">
        <f>"T197-5"</f>
        <v>T197-5</v>
      </c>
      <c r="B138" t="str">
        <f t="shared" si="15"/>
        <v>SALITA SANT ANTONINO VICINO AL 26A-</v>
      </c>
      <c r="C138" t="str">
        <f t="shared" si="16"/>
        <v>1</v>
      </c>
      <c r="D138">
        <v>8</v>
      </c>
      <c r="E138" t="str">
        <f>"262"</f>
        <v>262</v>
      </c>
      <c r="F138" t="str">
        <f t="shared" si="11"/>
        <v>0000</v>
      </c>
    </row>
    <row r="139" spans="1:6">
      <c r="A139" t="str">
        <f>"T197-6"</f>
        <v>T197-6</v>
      </c>
      <c r="B139" t="str">
        <f t="shared" si="15"/>
        <v>SALITA SANT ANTONINO VICINO AL 26A-</v>
      </c>
      <c r="C139" t="str">
        <f t="shared" si="16"/>
        <v>1</v>
      </c>
      <c r="D139">
        <v>18</v>
      </c>
      <c r="E139" t="str">
        <f>"153"</f>
        <v>153</v>
      </c>
      <c r="F139" t="str">
        <f t="shared" si="11"/>
        <v>0000</v>
      </c>
    </row>
    <row r="140" spans="1:6">
      <c r="A140" t="str">
        <f>"T197-7"</f>
        <v>T197-7</v>
      </c>
      <c r="B140" t="str">
        <f t="shared" si="15"/>
        <v>SALITA SANT ANTONINO VICINO AL 26A-</v>
      </c>
      <c r="C140" t="str">
        <f t="shared" si="16"/>
        <v>1</v>
      </c>
      <c r="D140">
        <v>8</v>
      </c>
      <c r="E140" t="str">
        <f>"177"</f>
        <v>177</v>
      </c>
      <c r="F140" t="str">
        <f t="shared" si="11"/>
        <v>0000</v>
      </c>
    </row>
    <row r="141" spans="1:6">
      <c r="A141" t="str">
        <f>"T197-8"</f>
        <v>T197-8</v>
      </c>
      <c r="B141" t="str">
        <f t="shared" si="15"/>
        <v>SALITA SANT ANTONINO VICINO AL 26A-</v>
      </c>
      <c r="C141" t="str">
        <f t="shared" si="16"/>
        <v>1</v>
      </c>
      <c r="D141">
        <v>8</v>
      </c>
      <c r="E141" t="str">
        <f>"469"</f>
        <v>469</v>
      </c>
      <c r="F141" t="str">
        <f t="shared" si="11"/>
        <v>0000</v>
      </c>
    </row>
    <row r="142" spans="1:6">
      <c r="A142" t="str">
        <f>"T197-9"</f>
        <v>T197-9</v>
      </c>
      <c r="B142" t="str">
        <f t="shared" si="15"/>
        <v>SALITA SANT ANTONINO VICINO AL 26A-</v>
      </c>
      <c r="C142" t="str">
        <f t="shared" si="16"/>
        <v>1</v>
      </c>
      <c r="D142">
        <v>8</v>
      </c>
      <c r="E142" t="str">
        <f>"59"</f>
        <v>59</v>
      </c>
      <c r="F142" t="str">
        <f t="shared" si="11"/>
        <v>0000</v>
      </c>
    </row>
    <row r="143" spans="1:6">
      <c r="A143" t="str">
        <f>"T197-10"</f>
        <v>T197-10</v>
      </c>
      <c r="B143" t="str">
        <f t="shared" si="15"/>
        <v>SALITA SANT ANTONINO VICINO AL 26A-</v>
      </c>
      <c r="C143" t="str">
        <f t="shared" si="16"/>
        <v>1</v>
      </c>
      <c r="D143">
        <v>8</v>
      </c>
      <c r="E143" t="str">
        <f>"648"</f>
        <v>648</v>
      </c>
      <c r="F143" t="str">
        <f t="shared" si="11"/>
        <v>0000</v>
      </c>
    </row>
    <row r="144" spans="1:6">
      <c r="A144" t="str">
        <f>"T197-11"</f>
        <v>T197-11</v>
      </c>
      <c r="B144" t="str">
        <f t="shared" si="15"/>
        <v>SALITA SANT ANTONINO VICINO AL 26A-</v>
      </c>
      <c r="C144" t="str">
        <f t="shared" si="16"/>
        <v>1</v>
      </c>
      <c r="D144">
        <v>8</v>
      </c>
      <c r="E144" t="str">
        <f>"649"</f>
        <v>649</v>
      </c>
      <c r="F144" t="str">
        <f t="shared" si="11"/>
        <v>0000</v>
      </c>
    </row>
    <row r="145" spans="1:6">
      <c r="A145" t="str">
        <f>"T197-12"</f>
        <v>T197-12</v>
      </c>
      <c r="B145" t="str">
        <f t="shared" si="15"/>
        <v>SALITA SANT ANTONINO VICINO AL 26A-</v>
      </c>
      <c r="C145" t="str">
        <f t="shared" si="16"/>
        <v>1</v>
      </c>
      <c r="D145">
        <v>4</v>
      </c>
      <c r="E145" t="str">
        <f>"538"</f>
        <v>538</v>
      </c>
      <c r="F145" t="str">
        <f t="shared" si="11"/>
        <v>0000</v>
      </c>
    </row>
    <row r="146" spans="1:6">
      <c r="A146" t="str">
        <f>"T197-13"</f>
        <v>T197-13</v>
      </c>
      <c r="B146" t="str">
        <f t="shared" si="15"/>
        <v>SALITA SANT ANTONINO VICINO AL 26A-</v>
      </c>
      <c r="C146" t="str">
        <f t="shared" si="16"/>
        <v>1</v>
      </c>
      <c r="D146">
        <v>4</v>
      </c>
      <c r="E146" t="str">
        <f>"466"</f>
        <v>466</v>
      </c>
      <c r="F146" t="str">
        <f t="shared" si="11"/>
        <v>0000</v>
      </c>
    </row>
    <row r="147" spans="1:6">
      <c r="A147" t="str">
        <f>"T197-14"</f>
        <v>T197-14</v>
      </c>
      <c r="B147" t="str">
        <f t="shared" si="15"/>
        <v>SALITA SANT ANTONINO VICINO AL 26A-</v>
      </c>
      <c r="C147" t="str">
        <f t="shared" si="16"/>
        <v>1</v>
      </c>
      <c r="D147">
        <v>4</v>
      </c>
      <c r="E147" t="str">
        <f>"603"</f>
        <v>603</v>
      </c>
      <c r="F147" t="str">
        <f t="shared" si="11"/>
        <v>0000</v>
      </c>
    </row>
    <row r="148" spans="1:6">
      <c r="A148" t="str">
        <f>"T197-15"</f>
        <v>T197-15</v>
      </c>
      <c r="B148" t="str">
        <f t="shared" si="15"/>
        <v>SALITA SANT ANTONINO VICINO AL 26A-</v>
      </c>
      <c r="C148" t="str">
        <f t="shared" si="16"/>
        <v>1</v>
      </c>
      <c r="D148">
        <v>4</v>
      </c>
      <c r="E148" t="str">
        <f>"699"</f>
        <v>699</v>
      </c>
      <c r="F148" t="str">
        <f t="shared" si="11"/>
        <v>0000</v>
      </c>
    </row>
    <row r="149" spans="1:6">
      <c r="A149" t="str">
        <f>"T197-16"</f>
        <v>T197-16</v>
      </c>
      <c r="B149" t="str">
        <f t="shared" si="15"/>
        <v>SALITA SANT ANTONINO VICINO AL 26A-</v>
      </c>
      <c r="C149" t="str">
        <f t="shared" si="16"/>
        <v>1</v>
      </c>
      <c r="D149">
        <v>4</v>
      </c>
      <c r="E149" t="str">
        <f>"475"</f>
        <v>475</v>
      </c>
      <c r="F149" t="str">
        <f t="shared" si="11"/>
        <v>0000</v>
      </c>
    </row>
    <row r="150" spans="1:6">
      <c r="A150" t="str">
        <f>"T197-17"</f>
        <v>T197-17</v>
      </c>
      <c r="B150" t="str">
        <f t="shared" si="15"/>
        <v>SALITA SANT ANTONINO VICINO AL 26A-</v>
      </c>
      <c r="C150" t="str">
        <f t="shared" si="16"/>
        <v>1</v>
      </c>
      <c r="D150">
        <v>8</v>
      </c>
      <c r="E150" t="str">
        <f>"437"</f>
        <v>437</v>
      </c>
      <c r="F150" t="str">
        <f t="shared" si="11"/>
        <v>0000</v>
      </c>
    </row>
    <row r="151" spans="1:6">
      <c r="A151" t="str">
        <f>"T197-18"</f>
        <v>T197-18</v>
      </c>
      <c r="B151" t="str">
        <f t="shared" si="15"/>
        <v>SALITA SANT ANTONINO VICINO AL 26A-</v>
      </c>
      <c r="C151" t="str">
        <f t="shared" si="16"/>
        <v>1</v>
      </c>
      <c r="D151">
        <v>8</v>
      </c>
      <c r="E151" t="str">
        <f>"441"</f>
        <v>441</v>
      </c>
      <c r="F151" t="str">
        <f t="shared" si="11"/>
        <v>0000</v>
      </c>
    </row>
    <row r="152" spans="1:6">
      <c r="A152" t="str">
        <f>"T197-19"</f>
        <v>T197-19</v>
      </c>
      <c r="B152" t="str">
        <f t="shared" si="15"/>
        <v>SALITA SANT ANTONINO VICINO AL 26A-</v>
      </c>
      <c r="C152" t="str">
        <f t="shared" si="16"/>
        <v>1</v>
      </c>
      <c r="D152">
        <v>8</v>
      </c>
      <c r="E152" t="str">
        <f>"2"</f>
        <v>2</v>
      </c>
      <c r="F152" t="str">
        <f t="shared" si="11"/>
        <v>0000</v>
      </c>
    </row>
    <row r="153" spans="1:6">
      <c r="A153" t="str">
        <f>"T197-20"</f>
        <v>T197-20</v>
      </c>
      <c r="B153" t="str">
        <f t="shared" si="15"/>
        <v>SALITA SANT ANTONINO VICINO AL 26A-</v>
      </c>
      <c r="C153" t="str">
        <f t="shared" si="16"/>
        <v>1</v>
      </c>
      <c r="D153">
        <v>4</v>
      </c>
      <c r="E153" t="str">
        <f>"791"</f>
        <v>791</v>
      </c>
      <c r="F153" t="str">
        <f t="shared" si="11"/>
        <v>0000</v>
      </c>
    </row>
    <row r="154" spans="1:6">
      <c r="A154" t="str">
        <f>"T197-21"</f>
        <v>T197-21</v>
      </c>
      <c r="B154" t="str">
        <f t="shared" si="15"/>
        <v>SALITA SANT ANTONINO VICINO AL 26A-</v>
      </c>
      <c r="C154" t="str">
        <f t="shared" si="16"/>
        <v>1</v>
      </c>
      <c r="D154">
        <v>8</v>
      </c>
      <c r="E154" t="str">
        <f>"99999"</f>
        <v>99999</v>
      </c>
      <c r="F154" t="str">
        <f t="shared" si="11"/>
        <v>0000</v>
      </c>
    </row>
    <row r="155" spans="1:6">
      <c r="A155" t="str">
        <f>"T198-1"</f>
        <v>T198-1</v>
      </c>
      <c r="B155" t="str">
        <f>"VIA INFER. RIO MAGGIORE VICINO AL 1B-"</f>
        <v>VIA INFER. RIO MAGGIORE VICINO AL 1B-</v>
      </c>
      <c r="C155" t="str">
        <f t="shared" ref="C155:C168" si="17">"5"</f>
        <v>5</v>
      </c>
      <c r="D155">
        <v>5</v>
      </c>
      <c r="E155" t="str">
        <f>"629"</f>
        <v>629</v>
      </c>
      <c r="F155" t="str">
        <f t="shared" si="11"/>
        <v>0000</v>
      </c>
    </row>
    <row r="156" spans="1:6">
      <c r="A156" t="str">
        <f>"T199-1"</f>
        <v>T199-1</v>
      </c>
      <c r="B156" t="str">
        <f>"SALITA GAVE VICINO AL 1-"</f>
        <v>SALITA GAVE VICINO AL 1-</v>
      </c>
      <c r="C156" t="str">
        <f t="shared" si="17"/>
        <v>5</v>
      </c>
      <c r="D156">
        <v>11</v>
      </c>
      <c r="E156" t="str">
        <f>"69"</f>
        <v>69</v>
      </c>
      <c r="F156" t="str">
        <f t="shared" si="11"/>
        <v>0000</v>
      </c>
    </row>
    <row r="157" spans="1:6">
      <c r="A157" t="str">
        <f>"T200-1"</f>
        <v>T200-1</v>
      </c>
      <c r="B157" t="str">
        <f>"VIA ALLE BRUGHE VICINO AL 21-"</f>
        <v>VIA ALLE BRUGHE VICINO AL 21-</v>
      </c>
      <c r="C157" t="str">
        <f t="shared" si="17"/>
        <v>5</v>
      </c>
      <c r="D157">
        <v>9</v>
      </c>
      <c r="E157" t="str">
        <f>"678"</f>
        <v>678</v>
      </c>
      <c r="F157" t="str">
        <f t="shared" si="11"/>
        <v>0000</v>
      </c>
    </row>
    <row r="158" spans="1:6">
      <c r="A158" t="str">
        <f>"T201-1"</f>
        <v>T201-1</v>
      </c>
      <c r="B158" t="str">
        <f>"VIA OLIVO VICINO AL 54-"</f>
        <v>VIA OLIVO VICINO AL 54-</v>
      </c>
      <c r="C158" t="str">
        <f t="shared" si="17"/>
        <v>5</v>
      </c>
      <c r="D158">
        <v>9</v>
      </c>
      <c r="E158" t="str">
        <f>"589"</f>
        <v>589</v>
      </c>
      <c r="F158" t="str">
        <f t="shared" si="11"/>
        <v>0000</v>
      </c>
    </row>
    <row r="159" spans="1:6">
      <c r="A159" t="str">
        <f>"T201-2"</f>
        <v>T201-2</v>
      </c>
      <c r="B159" t="str">
        <f>"VIA OLIVO VICINO AL 54-"</f>
        <v>VIA OLIVO VICINO AL 54-</v>
      </c>
      <c r="C159" t="str">
        <f t="shared" si="17"/>
        <v>5</v>
      </c>
      <c r="D159">
        <v>9</v>
      </c>
      <c r="E159" t="str">
        <f>"882"</f>
        <v>882</v>
      </c>
      <c r="F159" t="str">
        <f t="shared" si="11"/>
        <v>0000</v>
      </c>
    </row>
    <row r="160" spans="1:6">
      <c r="A160" t="str">
        <f>"T203-1"</f>
        <v>T203-1</v>
      </c>
      <c r="B160" t="str">
        <f>"VIA PIANE DI MOLASSANA VICINO AL 14-"</f>
        <v>VIA PIANE DI MOLASSANA VICINO AL 14-</v>
      </c>
      <c r="C160" t="str">
        <f t="shared" si="17"/>
        <v>5</v>
      </c>
      <c r="D160">
        <v>9</v>
      </c>
      <c r="E160" t="str">
        <f>"143"</f>
        <v>143</v>
      </c>
      <c r="F160" t="str">
        <f t="shared" si="11"/>
        <v>0000</v>
      </c>
    </row>
    <row r="161" spans="1:6">
      <c r="A161" t="str">
        <f>"T204-1"</f>
        <v>T204-1</v>
      </c>
      <c r="B161" t="str">
        <f>"VIA INFER. RIO MAGGIORE VICINO AL 1B-"</f>
        <v>VIA INFER. RIO MAGGIORE VICINO AL 1B-</v>
      </c>
      <c r="C161" t="str">
        <f t="shared" si="17"/>
        <v>5</v>
      </c>
      <c r="D161">
        <v>5</v>
      </c>
      <c r="E161" t="str">
        <f>"99999"</f>
        <v>99999</v>
      </c>
      <c r="F161" t="str">
        <f t="shared" si="11"/>
        <v>0000</v>
      </c>
    </row>
    <row r="162" spans="1:6">
      <c r="A162" t="str">
        <f>"T205-1"</f>
        <v>T205-1</v>
      </c>
      <c r="B162" t="str">
        <f>"SALITA COSTA FREDDA VICINO AL 18-"</f>
        <v>SALITA COSTA FREDDA VICINO AL 18-</v>
      </c>
      <c r="C162" t="str">
        <f t="shared" si="17"/>
        <v>5</v>
      </c>
      <c r="D162">
        <v>9</v>
      </c>
      <c r="E162" t="str">
        <f>"123"</f>
        <v>123</v>
      </c>
      <c r="F162" t="str">
        <f t="shared" si="11"/>
        <v>0000</v>
      </c>
    </row>
    <row r="163" spans="1:6">
      <c r="A163" t="str">
        <f>"T205-2"</f>
        <v>T205-2</v>
      </c>
      <c r="B163" t="str">
        <f>"SALITA COSTA FREDDA VICINO AL 18-"</f>
        <v>SALITA COSTA FREDDA VICINO AL 18-</v>
      </c>
      <c r="C163" t="str">
        <f t="shared" si="17"/>
        <v>5</v>
      </c>
      <c r="D163">
        <v>9</v>
      </c>
      <c r="E163" t="str">
        <f>"99999"</f>
        <v>99999</v>
      </c>
      <c r="F163" t="str">
        <f t="shared" si="11"/>
        <v>0000</v>
      </c>
    </row>
    <row r="164" spans="1:6">
      <c r="A164" t="str">
        <f>"T206-20"</f>
        <v>T206-20</v>
      </c>
      <c r="B164" t="str">
        <f>"VIA GEIRATO VICINO AL 162B-"</f>
        <v>VIA GEIRATO VICINO AL 162B-</v>
      </c>
      <c r="C164" t="str">
        <f t="shared" si="17"/>
        <v>5</v>
      </c>
      <c r="D164">
        <v>3</v>
      </c>
      <c r="E164" t="str">
        <f>"245"</f>
        <v>245</v>
      </c>
      <c r="F164" t="str">
        <f t="shared" si="11"/>
        <v>0000</v>
      </c>
    </row>
    <row r="165" spans="1:6">
      <c r="A165" t="str">
        <f>"T206-21"</f>
        <v>T206-21</v>
      </c>
      <c r="B165" t="str">
        <f>"VIA GEIRATO VICINO AL 162B-"</f>
        <v>VIA GEIRATO VICINO AL 162B-</v>
      </c>
      <c r="C165" t="str">
        <f t="shared" si="17"/>
        <v>5</v>
      </c>
      <c r="D165">
        <v>3</v>
      </c>
      <c r="E165" t="str">
        <f>"569"</f>
        <v>569</v>
      </c>
      <c r="F165" t="str">
        <f t="shared" si="11"/>
        <v>0000</v>
      </c>
    </row>
    <row r="166" spans="1:6">
      <c r="A166" t="str">
        <f>"T206-22"</f>
        <v>T206-22</v>
      </c>
      <c r="B166" t="str">
        <f>"VIA GEIRATO VICINO AL 162B-"</f>
        <v>VIA GEIRATO VICINO AL 162B-</v>
      </c>
      <c r="C166" t="str">
        <f t="shared" si="17"/>
        <v>5</v>
      </c>
      <c r="D166">
        <v>3</v>
      </c>
      <c r="E166" t="str">
        <f>"555"</f>
        <v>555</v>
      </c>
      <c r="F166" t="str">
        <f t="shared" si="11"/>
        <v>0000</v>
      </c>
    </row>
    <row r="167" spans="1:6">
      <c r="A167" t="str">
        <f>"T207-1"</f>
        <v>T207-1</v>
      </c>
      <c r="B167" t="str">
        <f>"VIA MOLINARI VICINO AL 11-"</f>
        <v>VIA MOLINARI VICINO AL 11-</v>
      </c>
      <c r="C167" t="str">
        <f t="shared" si="17"/>
        <v>5</v>
      </c>
      <c r="D167">
        <v>1</v>
      </c>
      <c r="E167" t="str">
        <f>"A"</f>
        <v>A</v>
      </c>
      <c r="F167" t="str">
        <f t="shared" si="11"/>
        <v>0000</v>
      </c>
    </row>
    <row r="168" spans="1:6">
      <c r="A168" t="str">
        <f>"T208-1"</f>
        <v>T208-1</v>
      </c>
      <c r="B168" t="str">
        <f>"VIA BOSCO DI MOLASSANA VICINO AL 8-"</f>
        <v>VIA BOSCO DI MOLASSANA VICINO AL 8-</v>
      </c>
      <c r="C168" t="str">
        <f t="shared" si="17"/>
        <v>5</v>
      </c>
      <c r="D168">
        <v>9</v>
      </c>
      <c r="E168" t="str">
        <f>"929"</f>
        <v>929</v>
      </c>
      <c r="F168" t="str">
        <f t="shared" si="11"/>
        <v>0000</v>
      </c>
    </row>
    <row r="169" spans="1:6">
      <c r="A169" t="str">
        <f>"T209-1"</f>
        <v>T209-1</v>
      </c>
      <c r="B169" t="str">
        <f>"VIA GIULIA DE VINCENZI VICINO AL 87-"</f>
        <v>VIA GIULIA DE VINCENZI VICINO AL 87-</v>
      </c>
      <c r="C169" t="str">
        <f t="shared" ref="C169:C200" si="18">"1"</f>
        <v>1</v>
      </c>
      <c r="D169">
        <v>2</v>
      </c>
      <c r="E169" t="str">
        <f>"1036"</f>
        <v>1036</v>
      </c>
      <c r="F169" t="str">
        <f t="shared" si="11"/>
        <v>0000</v>
      </c>
    </row>
    <row r="170" spans="1:6">
      <c r="A170" t="str">
        <f>"T251-1"</f>
        <v>T251-1</v>
      </c>
      <c r="B170" t="str">
        <f>"VIA ANTONIO BURLANDO VICINO AL 14G-"</f>
        <v>VIA ANTONIO BURLANDO VICINO AL 14G-</v>
      </c>
      <c r="C170" t="str">
        <f t="shared" si="18"/>
        <v>1</v>
      </c>
      <c r="D170">
        <v>37</v>
      </c>
      <c r="E170" t="str">
        <f>"306"</f>
        <v>306</v>
      </c>
      <c r="F170" t="str">
        <f t="shared" si="11"/>
        <v>0000</v>
      </c>
    </row>
    <row r="171" spans="1:6">
      <c r="A171" t="str">
        <f>"T251-2"</f>
        <v>T251-2</v>
      </c>
      <c r="B171" t="str">
        <f>"VIA ANTONIO BURLANDO VICINO AL 14G-"</f>
        <v>VIA ANTONIO BURLANDO VICINO AL 14G-</v>
      </c>
      <c r="C171" t="str">
        <f t="shared" si="18"/>
        <v>1</v>
      </c>
      <c r="D171">
        <v>37</v>
      </c>
      <c r="E171" t="str">
        <f>"52"</f>
        <v>52</v>
      </c>
      <c r="F171" t="str">
        <f t="shared" si="11"/>
        <v>0000</v>
      </c>
    </row>
    <row r="172" spans="1:6">
      <c r="A172" t="str">
        <f>"T252-1"</f>
        <v>T252-1</v>
      </c>
      <c r="B172" t="str">
        <f t="shared" ref="B172:B193" si="19">"SALITA SANT ANTONINO VICINO AL 26A-"</f>
        <v>SALITA SANT ANTONINO VICINO AL 26A-</v>
      </c>
      <c r="C172" t="str">
        <f t="shared" si="18"/>
        <v>1</v>
      </c>
      <c r="D172">
        <v>8</v>
      </c>
      <c r="E172" t="str">
        <f>"255"</f>
        <v>255</v>
      </c>
      <c r="F172" t="str">
        <f t="shared" ref="F172:F235" si="20">"0000"</f>
        <v>0000</v>
      </c>
    </row>
    <row r="173" spans="1:6">
      <c r="A173" t="str">
        <f>"T252-2"</f>
        <v>T252-2</v>
      </c>
      <c r="B173" t="str">
        <f t="shared" si="19"/>
        <v>SALITA SANT ANTONINO VICINO AL 26A-</v>
      </c>
      <c r="C173" t="str">
        <f t="shared" si="18"/>
        <v>1</v>
      </c>
      <c r="D173">
        <v>8</v>
      </c>
      <c r="E173" t="str">
        <f>"257"</f>
        <v>257</v>
      </c>
      <c r="F173" t="str">
        <f t="shared" si="20"/>
        <v>0000</v>
      </c>
    </row>
    <row r="174" spans="1:6">
      <c r="A174" t="str">
        <f>"T252-3"</f>
        <v>T252-3</v>
      </c>
      <c r="B174" t="str">
        <f t="shared" si="19"/>
        <v>SALITA SANT ANTONINO VICINO AL 26A-</v>
      </c>
      <c r="C174" t="str">
        <f t="shared" si="18"/>
        <v>1</v>
      </c>
      <c r="D174">
        <v>8</v>
      </c>
      <c r="E174" t="str">
        <f>"290"</f>
        <v>290</v>
      </c>
      <c r="F174" t="str">
        <f t="shared" si="20"/>
        <v>0000</v>
      </c>
    </row>
    <row r="175" spans="1:6">
      <c r="A175" t="str">
        <f>"T252-4"</f>
        <v>T252-4</v>
      </c>
      <c r="B175" t="str">
        <f t="shared" si="19"/>
        <v>SALITA SANT ANTONINO VICINO AL 26A-</v>
      </c>
      <c r="C175" t="str">
        <f t="shared" si="18"/>
        <v>1</v>
      </c>
      <c r="D175">
        <v>8</v>
      </c>
      <c r="E175" t="str">
        <f>"259"</f>
        <v>259</v>
      </c>
      <c r="F175" t="str">
        <f t="shared" si="20"/>
        <v>0000</v>
      </c>
    </row>
    <row r="176" spans="1:6">
      <c r="A176" t="str">
        <f>"T252-5"</f>
        <v>T252-5</v>
      </c>
      <c r="B176" t="str">
        <f t="shared" si="19"/>
        <v>SALITA SANT ANTONINO VICINO AL 26A-</v>
      </c>
      <c r="C176" t="str">
        <f t="shared" si="18"/>
        <v>1</v>
      </c>
      <c r="D176">
        <v>8</v>
      </c>
      <c r="E176" t="str">
        <f>"431"</f>
        <v>431</v>
      </c>
      <c r="F176" t="str">
        <f t="shared" si="20"/>
        <v>0000</v>
      </c>
    </row>
    <row r="177" spans="1:6">
      <c r="A177" t="str">
        <f>"T252-6"</f>
        <v>T252-6</v>
      </c>
      <c r="B177" t="str">
        <f t="shared" si="19"/>
        <v>SALITA SANT ANTONINO VICINO AL 26A-</v>
      </c>
      <c r="C177" t="str">
        <f t="shared" si="18"/>
        <v>1</v>
      </c>
      <c r="D177">
        <v>8</v>
      </c>
      <c r="E177" t="str">
        <f>"260"</f>
        <v>260</v>
      </c>
      <c r="F177" t="str">
        <f t="shared" si="20"/>
        <v>0000</v>
      </c>
    </row>
    <row r="178" spans="1:6">
      <c r="A178" t="str">
        <f>"T252-7"</f>
        <v>T252-7</v>
      </c>
      <c r="B178" t="str">
        <f t="shared" si="19"/>
        <v>SALITA SANT ANTONINO VICINO AL 26A-</v>
      </c>
      <c r="C178" t="str">
        <f t="shared" si="18"/>
        <v>1</v>
      </c>
      <c r="D178">
        <v>8</v>
      </c>
      <c r="E178" t="str">
        <f>"261"</f>
        <v>261</v>
      </c>
      <c r="F178" t="str">
        <f t="shared" si="20"/>
        <v>0000</v>
      </c>
    </row>
    <row r="179" spans="1:6">
      <c r="A179" t="str">
        <f>"T252-8"</f>
        <v>T252-8</v>
      </c>
      <c r="B179" t="str">
        <f t="shared" si="19"/>
        <v>SALITA SANT ANTONINO VICINO AL 26A-</v>
      </c>
      <c r="C179" t="str">
        <f t="shared" si="18"/>
        <v>1</v>
      </c>
      <c r="D179">
        <v>8</v>
      </c>
      <c r="E179" t="str">
        <f>"618"</f>
        <v>618</v>
      </c>
      <c r="F179" t="str">
        <f t="shared" si="20"/>
        <v>0000</v>
      </c>
    </row>
    <row r="180" spans="1:6">
      <c r="A180" t="str">
        <f>"T252-9"</f>
        <v>T252-9</v>
      </c>
      <c r="B180" t="str">
        <f t="shared" si="19"/>
        <v>SALITA SANT ANTONINO VICINO AL 26A-</v>
      </c>
      <c r="C180" t="str">
        <f t="shared" si="18"/>
        <v>1</v>
      </c>
      <c r="D180">
        <v>8</v>
      </c>
      <c r="E180" t="str">
        <f>"621"</f>
        <v>621</v>
      </c>
      <c r="F180" t="str">
        <f t="shared" si="20"/>
        <v>0000</v>
      </c>
    </row>
    <row r="181" spans="1:6">
      <c r="A181" t="str">
        <f>"T252-10"</f>
        <v>T252-10</v>
      </c>
      <c r="B181" t="str">
        <f t="shared" si="19"/>
        <v>SALITA SANT ANTONINO VICINO AL 26A-</v>
      </c>
      <c r="C181" t="str">
        <f t="shared" si="18"/>
        <v>1</v>
      </c>
      <c r="D181">
        <v>8</v>
      </c>
      <c r="E181" t="str">
        <f>"619"</f>
        <v>619</v>
      </c>
      <c r="F181" t="str">
        <f t="shared" si="20"/>
        <v>0000</v>
      </c>
    </row>
    <row r="182" spans="1:6">
      <c r="A182" t="str">
        <f>"T252-11"</f>
        <v>T252-11</v>
      </c>
      <c r="B182" t="str">
        <f t="shared" si="19"/>
        <v>SALITA SANT ANTONINO VICINO AL 26A-</v>
      </c>
      <c r="C182" t="str">
        <f t="shared" si="18"/>
        <v>1</v>
      </c>
      <c r="D182">
        <v>8</v>
      </c>
      <c r="E182" t="str">
        <f>"620"</f>
        <v>620</v>
      </c>
      <c r="F182" t="str">
        <f t="shared" si="20"/>
        <v>0000</v>
      </c>
    </row>
    <row r="183" spans="1:6">
      <c r="A183" t="str">
        <f>"T252-21"</f>
        <v>T252-21</v>
      </c>
      <c r="B183" t="str">
        <f t="shared" si="19"/>
        <v>SALITA SANT ANTONINO VICINO AL 26A-</v>
      </c>
      <c r="C183" t="str">
        <f t="shared" si="18"/>
        <v>1</v>
      </c>
      <c r="D183">
        <v>8</v>
      </c>
      <c r="E183" t="str">
        <f>"630"</f>
        <v>630</v>
      </c>
      <c r="F183" t="str">
        <f t="shared" si="20"/>
        <v>0000</v>
      </c>
    </row>
    <row r="184" spans="1:6">
      <c r="A184" t="str">
        <f>"T252-24"</f>
        <v>T252-24</v>
      </c>
      <c r="B184" t="str">
        <f t="shared" si="19"/>
        <v>SALITA SANT ANTONINO VICINO AL 26A-</v>
      </c>
      <c r="C184" t="str">
        <f t="shared" si="18"/>
        <v>1</v>
      </c>
      <c r="D184">
        <v>8</v>
      </c>
      <c r="E184" t="str">
        <f>"291"</f>
        <v>291</v>
      </c>
      <c r="F184" t="str">
        <f t="shared" si="20"/>
        <v>0000</v>
      </c>
    </row>
    <row r="185" spans="1:6">
      <c r="A185" t="str">
        <f>"T252-25"</f>
        <v>T252-25</v>
      </c>
      <c r="B185" t="str">
        <f t="shared" si="19"/>
        <v>SALITA SANT ANTONINO VICINO AL 26A-</v>
      </c>
      <c r="C185" t="str">
        <f t="shared" si="18"/>
        <v>1</v>
      </c>
      <c r="D185">
        <v>8</v>
      </c>
      <c r="E185" t="str">
        <f>"633"</f>
        <v>633</v>
      </c>
      <c r="F185" t="str">
        <f t="shared" si="20"/>
        <v>0000</v>
      </c>
    </row>
    <row r="186" spans="1:6">
      <c r="A186" t="str">
        <f>"T252-26"</f>
        <v>T252-26</v>
      </c>
      <c r="B186" t="str">
        <f t="shared" si="19"/>
        <v>SALITA SANT ANTONINO VICINO AL 26A-</v>
      </c>
      <c r="C186" t="str">
        <f t="shared" si="18"/>
        <v>1</v>
      </c>
      <c r="D186">
        <v>8</v>
      </c>
      <c r="E186" t="str">
        <f>"634"</f>
        <v>634</v>
      </c>
      <c r="F186" t="str">
        <f t="shared" si="20"/>
        <v>0000</v>
      </c>
    </row>
    <row r="187" spans="1:6">
      <c r="A187" t="str">
        <f>"T252-28"</f>
        <v>T252-28</v>
      </c>
      <c r="B187" t="str">
        <f t="shared" si="19"/>
        <v>SALITA SANT ANTONINO VICINO AL 26A-</v>
      </c>
      <c r="C187" t="str">
        <f t="shared" si="18"/>
        <v>1</v>
      </c>
      <c r="D187">
        <v>8</v>
      </c>
      <c r="E187" t="str">
        <f>"632"</f>
        <v>632</v>
      </c>
      <c r="F187" t="str">
        <f t="shared" si="20"/>
        <v>0000</v>
      </c>
    </row>
    <row r="188" spans="1:6">
      <c r="A188" t="str">
        <f>"T252-29"</f>
        <v>T252-29</v>
      </c>
      <c r="B188" t="str">
        <f t="shared" si="19"/>
        <v>SALITA SANT ANTONINO VICINO AL 26A-</v>
      </c>
      <c r="C188" t="str">
        <f t="shared" si="18"/>
        <v>1</v>
      </c>
      <c r="D188">
        <v>8</v>
      </c>
      <c r="E188" t="str">
        <f>"636"</f>
        <v>636</v>
      </c>
      <c r="F188" t="str">
        <f t="shared" si="20"/>
        <v>0000</v>
      </c>
    </row>
    <row r="189" spans="1:6">
      <c r="A189" t="str">
        <f>"T252-30"</f>
        <v>T252-30</v>
      </c>
      <c r="B189" t="str">
        <f t="shared" si="19"/>
        <v>SALITA SANT ANTONINO VICINO AL 26A-</v>
      </c>
      <c r="C189" t="str">
        <f t="shared" si="18"/>
        <v>1</v>
      </c>
      <c r="D189">
        <v>8</v>
      </c>
      <c r="E189" t="str">
        <f>"639"</f>
        <v>639</v>
      </c>
      <c r="F189" t="str">
        <f t="shared" si="20"/>
        <v>0000</v>
      </c>
    </row>
    <row r="190" spans="1:6">
      <c r="A190" t="str">
        <f>"T252-32"</f>
        <v>T252-32</v>
      </c>
      <c r="B190" t="str">
        <f t="shared" si="19"/>
        <v>SALITA SANT ANTONINO VICINO AL 26A-</v>
      </c>
      <c r="C190" t="str">
        <f t="shared" si="18"/>
        <v>1</v>
      </c>
      <c r="D190">
        <v>8</v>
      </c>
      <c r="E190" t="str">
        <f>"637"</f>
        <v>637</v>
      </c>
      <c r="F190" t="str">
        <f t="shared" si="20"/>
        <v>0000</v>
      </c>
    </row>
    <row r="191" spans="1:6">
      <c r="A191" t="str">
        <f>"T252-33"</f>
        <v>T252-33</v>
      </c>
      <c r="B191" t="str">
        <f t="shared" si="19"/>
        <v>SALITA SANT ANTONINO VICINO AL 26A-</v>
      </c>
      <c r="C191" t="str">
        <f t="shared" si="18"/>
        <v>1</v>
      </c>
      <c r="D191">
        <v>8</v>
      </c>
      <c r="E191" t="str">
        <f>"276"</f>
        <v>276</v>
      </c>
      <c r="F191" t="str">
        <f t="shared" si="20"/>
        <v>0000</v>
      </c>
    </row>
    <row r="192" spans="1:6">
      <c r="A192" t="str">
        <f>"T252-34"</f>
        <v>T252-34</v>
      </c>
      <c r="B192" t="str">
        <f t="shared" si="19"/>
        <v>SALITA SANT ANTONINO VICINO AL 26A-</v>
      </c>
      <c r="C192" t="str">
        <f t="shared" si="18"/>
        <v>1</v>
      </c>
      <c r="D192">
        <v>8</v>
      </c>
      <c r="E192" t="str">
        <f>"254"</f>
        <v>254</v>
      </c>
      <c r="F192" t="str">
        <f t="shared" si="20"/>
        <v>0000</v>
      </c>
    </row>
    <row r="193" spans="1:6">
      <c r="A193" t="str">
        <f>"T252-37"</f>
        <v>T252-37</v>
      </c>
      <c r="B193" t="str">
        <f t="shared" si="19"/>
        <v>SALITA SANT ANTONINO VICINO AL 26A-</v>
      </c>
      <c r="C193" t="str">
        <f t="shared" si="18"/>
        <v>1</v>
      </c>
      <c r="D193">
        <v>8</v>
      </c>
      <c r="E193" t="str">
        <f>"622"</f>
        <v>622</v>
      </c>
      <c r="F193" t="str">
        <f t="shared" si="20"/>
        <v>0000</v>
      </c>
    </row>
    <row r="194" spans="1:6">
      <c r="A194" t="str">
        <f>"T253-1"</f>
        <v>T253-1</v>
      </c>
      <c r="B194" t="str">
        <f>"PIAZZA ADRIATICO VICINO AL 15-"</f>
        <v>PIAZZA ADRIATICO VICINO AL 15-</v>
      </c>
      <c r="C194" t="str">
        <f t="shared" si="18"/>
        <v>1</v>
      </c>
      <c r="D194">
        <v>10</v>
      </c>
      <c r="E194" t="str">
        <f>"99999"</f>
        <v>99999</v>
      </c>
      <c r="F194" t="str">
        <f t="shared" si="20"/>
        <v>0000</v>
      </c>
    </row>
    <row r="195" spans="1:6">
      <c r="A195" t="str">
        <f>"T253-2"</f>
        <v>T253-2</v>
      </c>
      <c r="B195" t="str">
        <f>"PIAZZA ADRIATICO VICINO AL 15-"</f>
        <v>PIAZZA ADRIATICO VICINO AL 15-</v>
      </c>
      <c r="C195" t="str">
        <f t="shared" si="18"/>
        <v>1</v>
      </c>
      <c r="D195">
        <v>10</v>
      </c>
      <c r="E195" t="str">
        <f>"362"</f>
        <v>362</v>
      </c>
      <c r="F195" t="str">
        <f t="shared" si="20"/>
        <v>0000</v>
      </c>
    </row>
    <row r="196" spans="1:6">
      <c r="A196" t="str">
        <f>"T255-1"</f>
        <v>T255-1</v>
      </c>
      <c r="B196" t="str">
        <f>"VIA LEONARDO MONTALDO VICINO AL 19-"</f>
        <v>VIA LEONARDO MONTALDO VICINO AL 19-</v>
      </c>
      <c r="C196" t="str">
        <f t="shared" si="18"/>
        <v>1</v>
      </c>
      <c r="D196">
        <v>37</v>
      </c>
      <c r="E196" t="str">
        <f>"22"</f>
        <v>22</v>
      </c>
      <c r="F196" t="str">
        <f t="shared" si="20"/>
        <v>0000</v>
      </c>
    </row>
    <row r="197" spans="1:6">
      <c r="A197" t="str">
        <f>"T256-1"</f>
        <v>T256-1</v>
      </c>
      <c r="B197" t="str">
        <f>"VIA LEONARDO MONTALDO VICINO AL 1B-"</f>
        <v>VIA LEONARDO MONTALDO VICINO AL 1B-</v>
      </c>
      <c r="C197" t="str">
        <f t="shared" si="18"/>
        <v>1</v>
      </c>
      <c r="D197">
        <v>37</v>
      </c>
      <c r="E197" t="str">
        <f>"303"</f>
        <v>303</v>
      </c>
      <c r="F197" t="str">
        <f t="shared" si="20"/>
        <v>0000</v>
      </c>
    </row>
    <row r="198" spans="1:6">
      <c r="A198" t="str">
        <f>"T283-1"</f>
        <v>T283-1</v>
      </c>
      <c r="B198" t="str">
        <f>"VIA RINO MANDOLI VICINO AL 67-"</f>
        <v>VIA RINO MANDOLI VICINO AL 67-</v>
      </c>
      <c r="C198" t="str">
        <f t="shared" si="18"/>
        <v>1</v>
      </c>
      <c r="D198">
        <v>20</v>
      </c>
      <c r="E198" t="str">
        <f>"357"</f>
        <v>357</v>
      </c>
      <c r="F198" t="str">
        <f t="shared" si="20"/>
        <v>0000</v>
      </c>
    </row>
    <row r="199" spans="1:6">
      <c r="A199" t="str">
        <f>"T283-2"</f>
        <v>T283-2</v>
      </c>
      <c r="B199" t="str">
        <f>"VIA RINO MANDOLI VICINO AL 67-"</f>
        <v>VIA RINO MANDOLI VICINO AL 67-</v>
      </c>
      <c r="C199" t="str">
        <f t="shared" si="18"/>
        <v>1</v>
      </c>
      <c r="D199">
        <v>20</v>
      </c>
      <c r="E199" t="str">
        <f>"186"</f>
        <v>186</v>
      </c>
      <c r="F199" t="str">
        <f t="shared" si="20"/>
        <v>0000</v>
      </c>
    </row>
    <row r="200" spans="1:6">
      <c r="A200" t="str">
        <f>"T283-3"</f>
        <v>T283-3</v>
      </c>
      <c r="B200" t="str">
        <f>"VIA RINO MANDOLI VICINO AL 67-"</f>
        <v>VIA RINO MANDOLI VICINO AL 67-</v>
      </c>
      <c r="C200" t="str">
        <f t="shared" si="18"/>
        <v>1</v>
      </c>
      <c r="D200">
        <v>20</v>
      </c>
      <c r="E200" t="str">
        <f>"187"</f>
        <v>187</v>
      </c>
      <c r="F200" t="str">
        <f t="shared" si="20"/>
        <v>0000</v>
      </c>
    </row>
    <row r="201" spans="1:6">
      <c r="A201" t="str">
        <f>"T333-1"</f>
        <v>T333-1</v>
      </c>
      <c r="B201" t="str">
        <f>"VIA EZIO LUCARNO VICINO AL 43-"</f>
        <v>VIA EZIO LUCARNO VICINO AL 43-</v>
      </c>
      <c r="C201" t="str">
        <f t="shared" ref="C201:C232" si="21">"5"</f>
        <v>5</v>
      </c>
      <c r="D201">
        <v>32</v>
      </c>
      <c r="E201" t="str">
        <f>"541"</f>
        <v>541</v>
      </c>
      <c r="F201" t="str">
        <f t="shared" si="20"/>
        <v>0000</v>
      </c>
    </row>
    <row r="202" spans="1:6">
      <c r="A202" t="str">
        <f>"T333-2"</f>
        <v>T333-2</v>
      </c>
      <c r="B202" t="str">
        <f>"VIA EZIO LUCARNO VICINO AL 43-"</f>
        <v>VIA EZIO LUCARNO VICINO AL 43-</v>
      </c>
      <c r="C202" t="str">
        <f t="shared" si="21"/>
        <v>5</v>
      </c>
      <c r="D202">
        <v>32</v>
      </c>
      <c r="E202" t="str">
        <f>"216"</f>
        <v>216</v>
      </c>
      <c r="F202" t="str">
        <f t="shared" si="20"/>
        <v>0000</v>
      </c>
    </row>
    <row r="203" spans="1:6">
      <c r="A203" t="str">
        <f>"T336-1"</f>
        <v>T336-1</v>
      </c>
      <c r="B203" t="str">
        <f>"VIA STRUPPA VICINO AL 214-"</f>
        <v>VIA STRUPPA VICINO AL 214-</v>
      </c>
      <c r="C203" t="str">
        <f t="shared" si="21"/>
        <v>5</v>
      </c>
      <c r="D203">
        <v>35</v>
      </c>
      <c r="E203" t="str">
        <f>"262"</f>
        <v>262</v>
      </c>
      <c r="F203" t="str">
        <f t="shared" si="20"/>
        <v>0000</v>
      </c>
    </row>
    <row r="204" spans="1:6">
      <c r="A204" t="str">
        <f>"T336-2"</f>
        <v>T336-2</v>
      </c>
      <c r="B204" t="str">
        <f>"VIA STRUPPA VICINO AL 214-"</f>
        <v>VIA STRUPPA VICINO AL 214-</v>
      </c>
      <c r="C204" t="str">
        <f t="shared" si="21"/>
        <v>5</v>
      </c>
      <c r="D204">
        <v>35</v>
      </c>
      <c r="E204" t="str">
        <f>"539"</f>
        <v>539</v>
      </c>
      <c r="F204" t="str">
        <f t="shared" si="20"/>
        <v>0000</v>
      </c>
    </row>
    <row r="205" spans="1:6">
      <c r="A205" t="str">
        <f>"T337-1"</f>
        <v>T337-1</v>
      </c>
      <c r="B205" t="str">
        <f>"VIA STRUPPA VICINO AL 300-"</f>
        <v>VIA STRUPPA VICINO AL 300-</v>
      </c>
      <c r="C205" t="str">
        <f t="shared" si="21"/>
        <v>5</v>
      </c>
      <c r="D205">
        <v>36</v>
      </c>
      <c r="E205" t="str">
        <f>"289"</f>
        <v>289</v>
      </c>
      <c r="F205" t="str">
        <f t="shared" si="20"/>
        <v>0000</v>
      </c>
    </row>
    <row r="206" spans="1:6">
      <c r="A206" t="str">
        <f>"T337-2"</f>
        <v>T337-2</v>
      </c>
      <c r="B206" t="str">
        <f>"VIA STRUPPA VICINO AL 300-"</f>
        <v>VIA STRUPPA VICINO AL 300-</v>
      </c>
      <c r="C206" t="str">
        <f t="shared" si="21"/>
        <v>5</v>
      </c>
      <c r="D206">
        <v>36</v>
      </c>
      <c r="E206" t="str">
        <f>"290"</f>
        <v>290</v>
      </c>
      <c r="F206" t="str">
        <f t="shared" si="20"/>
        <v>0000</v>
      </c>
    </row>
    <row r="207" spans="1:6">
      <c r="A207" t="str">
        <f>"T337-3"</f>
        <v>T337-3</v>
      </c>
      <c r="B207" t="str">
        <f>"VIA STRUPPA VICINO AL 300-"</f>
        <v>VIA STRUPPA VICINO AL 300-</v>
      </c>
      <c r="C207" t="str">
        <f t="shared" si="21"/>
        <v>5</v>
      </c>
      <c r="D207">
        <v>36</v>
      </c>
      <c r="E207" t="str">
        <f>"291"</f>
        <v>291</v>
      </c>
      <c r="F207" t="str">
        <f t="shared" si="20"/>
        <v>0000</v>
      </c>
    </row>
    <row r="208" spans="1:6">
      <c r="A208" t="str">
        <f>"T337-4"</f>
        <v>T337-4</v>
      </c>
      <c r="B208" t="str">
        <f>"VIA STRUPPA VICINO AL 300-"</f>
        <v>VIA STRUPPA VICINO AL 300-</v>
      </c>
      <c r="C208" t="str">
        <f t="shared" si="21"/>
        <v>5</v>
      </c>
      <c r="D208">
        <v>36</v>
      </c>
      <c r="E208" t="str">
        <f>"292"</f>
        <v>292</v>
      </c>
      <c r="F208" t="str">
        <f t="shared" si="20"/>
        <v>0000</v>
      </c>
    </row>
    <row r="209" spans="1:6">
      <c r="A209" t="str">
        <f>"T339-1"</f>
        <v>T339-1</v>
      </c>
      <c r="B209" t="str">
        <f>"SALITA SAN COSIMO STRUPPA VICINO AL 33A-"</f>
        <v>SALITA SAN COSIMO STRUPPA VICINO AL 33A-</v>
      </c>
      <c r="C209" t="str">
        <f t="shared" si="21"/>
        <v>5</v>
      </c>
      <c r="D209">
        <v>36</v>
      </c>
      <c r="E209" t="str">
        <f>"80"</f>
        <v>80</v>
      </c>
      <c r="F209" t="str">
        <f t="shared" si="20"/>
        <v>0000</v>
      </c>
    </row>
    <row r="210" spans="1:6">
      <c r="A210" t="str">
        <f>"T339-2"</f>
        <v>T339-2</v>
      </c>
      <c r="B210" t="str">
        <f>"SALITA SAN COSIMO STRUPPA VICINO AL 33A-"</f>
        <v>SALITA SAN COSIMO STRUPPA VICINO AL 33A-</v>
      </c>
      <c r="C210" t="str">
        <f t="shared" si="21"/>
        <v>5</v>
      </c>
      <c r="D210">
        <v>36</v>
      </c>
      <c r="E210" t="str">
        <f>"79"</f>
        <v>79</v>
      </c>
      <c r="F210" t="str">
        <f t="shared" si="20"/>
        <v>0000</v>
      </c>
    </row>
    <row r="211" spans="1:6">
      <c r="A211" t="str">
        <f>"T350-1"</f>
        <v>T350-1</v>
      </c>
      <c r="B211" t="str">
        <f>"VIA STRUPPA  152-"</f>
        <v>VIA STRUPPA  152-</v>
      </c>
      <c r="C211" t="str">
        <f t="shared" si="21"/>
        <v>5</v>
      </c>
      <c r="D211">
        <v>33</v>
      </c>
      <c r="E211" t="str">
        <f>"636"</f>
        <v>636</v>
      </c>
      <c r="F211" t="str">
        <f t="shared" si="20"/>
        <v>0000</v>
      </c>
    </row>
    <row r="212" spans="1:6">
      <c r="A212" t="str">
        <f>"T351-1"</f>
        <v>T351-1</v>
      </c>
      <c r="B212" t="str">
        <f>"VIA ENRICO BUSCAGLIA VICINO AL 6-"</f>
        <v>VIA ENRICO BUSCAGLIA VICINO AL 6-</v>
      </c>
      <c r="C212" t="str">
        <f t="shared" si="21"/>
        <v>5</v>
      </c>
      <c r="D212">
        <v>33</v>
      </c>
      <c r="E212" t="str">
        <f>"635"</f>
        <v>635</v>
      </c>
      <c r="F212" t="str">
        <f t="shared" si="20"/>
        <v>0000</v>
      </c>
    </row>
    <row r="213" spans="1:6">
      <c r="A213" t="str">
        <f>"T351-2"</f>
        <v>T351-2</v>
      </c>
      <c r="B213" t="str">
        <f>"VIA ENRICO BUSCAGLIA VICINO AL 6-"</f>
        <v>VIA ENRICO BUSCAGLIA VICINO AL 6-</v>
      </c>
      <c r="C213" t="str">
        <f t="shared" si="21"/>
        <v>5</v>
      </c>
      <c r="D213">
        <v>33</v>
      </c>
      <c r="E213" t="str">
        <f>"637"</f>
        <v>637</v>
      </c>
      <c r="F213" t="str">
        <f t="shared" si="20"/>
        <v>0000</v>
      </c>
    </row>
    <row r="214" spans="1:6">
      <c r="A214" t="str">
        <f>"T351-3"</f>
        <v>T351-3</v>
      </c>
      <c r="B214" t="str">
        <f>"VIA ENRICO BUSCAGLIA VICINO AL 6-"</f>
        <v>VIA ENRICO BUSCAGLIA VICINO AL 6-</v>
      </c>
      <c r="C214" t="str">
        <f t="shared" si="21"/>
        <v>5</v>
      </c>
      <c r="D214">
        <v>33</v>
      </c>
      <c r="E214" t="str">
        <f>"310"</f>
        <v>310</v>
      </c>
      <c r="F214" t="str">
        <f t="shared" si="20"/>
        <v>0000</v>
      </c>
    </row>
    <row r="215" spans="1:6">
      <c r="A215" t="str">
        <f>"T352-4"</f>
        <v>T352-4</v>
      </c>
      <c r="B215" t="str">
        <f>"VIA BENEDETTO DA PORTO VICINO AL 2A-"</f>
        <v>VIA BENEDETTO DA PORTO VICINO AL 2A-</v>
      </c>
      <c r="C215" t="str">
        <f t="shared" si="21"/>
        <v>5</v>
      </c>
      <c r="D215">
        <v>35</v>
      </c>
      <c r="E215" t="str">
        <f>"352"</f>
        <v>352</v>
      </c>
      <c r="F215" t="str">
        <f t="shared" si="20"/>
        <v>0000</v>
      </c>
    </row>
    <row r="216" spans="1:6">
      <c r="A216" t="str">
        <f>"T352-7"</f>
        <v>T352-7</v>
      </c>
      <c r="B216" t="str">
        <f>"VIA BENEDETTO DA PORTO VICINO AL 2A-"</f>
        <v>VIA BENEDETTO DA PORTO VICINO AL 2A-</v>
      </c>
      <c r="C216" t="str">
        <f t="shared" si="21"/>
        <v>5</v>
      </c>
      <c r="D216">
        <v>35</v>
      </c>
      <c r="E216" t="str">
        <f>"482"</f>
        <v>482</v>
      </c>
      <c r="F216" t="str">
        <f t="shared" si="20"/>
        <v>0000</v>
      </c>
    </row>
    <row r="217" spans="1:6">
      <c r="A217" t="str">
        <f>"T353-1"</f>
        <v>T353-1</v>
      </c>
      <c r="B217" t="str">
        <f>"SALITA GAVE VICINO AL 1-"</f>
        <v>SALITA GAVE VICINO AL 1-</v>
      </c>
      <c r="C217" t="str">
        <f t="shared" si="21"/>
        <v>5</v>
      </c>
      <c r="D217">
        <v>25</v>
      </c>
      <c r="E217" t="str">
        <f>"D"</f>
        <v>D</v>
      </c>
      <c r="F217" t="str">
        <f t="shared" si="20"/>
        <v>0000</v>
      </c>
    </row>
    <row r="218" spans="1:6">
      <c r="A218" t="str">
        <f>"T354-1"</f>
        <v>T354-1</v>
      </c>
      <c r="B218" t="str">
        <f>"SALITA SAN COSIMO STRUPPA VICINO AL 33A-"</f>
        <v>SALITA SAN COSIMO STRUPPA VICINO AL 33A-</v>
      </c>
      <c r="C218" t="str">
        <f t="shared" si="21"/>
        <v>5</v>
      </c>
      <c r="D218">
        <v>36</v>
      </c>
      <c r="E218" t="str">
        <f>"80"</f>
        <v>80</v>
      </c>
      <c r="F218" t="str">
        <f t="shared" si="20"/>
        <v>0000</v>
      </c>
    </row>
    <row r="219" spans="1:6">
      <c r="A219" t="str">
        <f>"T354-2"</f>
        <v>T354-2</v>
      </c>
      <c r="B219" t="str">
        <f>"SALITA SAN COSIMO STRUPPA VICINO AL 33A-"</f>
        <v>SALITA SAN COSIMO STRUPPA VICINO AL 33A-</v>
      </c>
      <c r="C219" t="str">
        <f t="shared" si="21"/>
        <v>5</v>
      </c>
      <c r="D219">
        <v>36</v>
      </c>
      <c r="E219" t="str">
        <f>"A"</f>
        <v>A</v>
      </c>
      <c r="F219" t="str">
        <f t="shared" si="20"/>
        <v>0000</v>
      </c>
    </row>
    <row r="220" spans="1:6">
      <c r="A220" t="str">
        <f>"T354-3"</f>
        <v>T354-3</v>
      </c>
      <c r="B220" t="str">
        <f>"SALITA SAN COSIMO STRUPPA VICINO AL 33A-"</f>
        <v>SALITA SAN COSIMO STRUPPA VICINO AL 33A-</v>
      </c>
      <c r="C220" t="str">
        <f t="shared" si="21"/>
        <v>5</v>
      </c>
      <c r="D220">
        <v>36</v>
      </c>
      <c r="E220" t="str">
        <f>"79"</f>
        <v>79</v>
      </c>
      <c r="F220" t="str">
        <f t="shared" si="20"/>
        <v>0000</v>
      </c>
    </row>
    <row r="221" spans="1:6">
      <c r="A221" t="str">
        <f>"T355-1"</f>
        <v>T355-1</v>
      </c>
      <c r="B221" t="str">
        <f>"SALITA SAN COSIMO STRUPPA VICINO AL 33A-"</f>
        <v>SALITA SAN COSIMO STRUPPA VICINO AL 33A-</v>
      </c>
      <c r="C221" t="str">
        <f t="shared" si="21"/>
        <v>5</v>
      </c>
      <c r="D221">
        <v>36</v>
      </c>
      <c r="E221" t="str">
        <f>"79"</f>
        <v>79</v>
      </c>
      <c r="F221" t="str">
        <f t="shared" si="20"/>
        <v>0000</v>
      </c>
    </row>
    <row r="222" spans="1:6">
      <c r="A222" t="str">
        <f>"T356-1"</f>
        <v>T356-1</v>
      </c>
      <c r="B222" t="str">
        <f>"VIA GIOVANNI TROSSARELLI VICINO AL 41-"</f>
        <v>VIA GIOVANNI TROSSARELLI VICINO AL 41-</v>
      </c>
      <c r="C222" t="str">
        <f t="shared" si="21"/>
        <v>5</v>
      </c>
      <c r="D222">
        <v>36</v>
      </c>
      <c r="E222" t="str">
        <f>"268"</f>
        <v>268</v>
      </c>
      <c r="F222" t="str">
        <f t="shared" si="20"/>
        <v>0000</v>
      </c>
    </row>
    <row r="223" spans="1:6">
      <c r="A223" t="str">
        <f>"T356-2"</f>
        <v>T356-2</v>
      </c>
      <c r="B223" t="str">
        <f>"VIA GIOVANNI TROSSARELLI VICINO AL 41-"</f>
        <v>VIA GIOVANNI TROSSARELLI VICINO AL 41-</v>
      </c>
      <c r="C223" t="str">
        <f t="shared" si="21"/>
        <v>5</v>
      </c>
      <c r="D223">
        <v>36</v>
      </c>
      <c r="E223" t="str">
        <f>"82"</f>
        <v>82</v>
      </c>
      <c r="F223" t="str">
        <f t="shared" si="20"/>
        <v>0000</v>
      </c>
    </row>
    <row r="224" spans="1:6">
      <c r="A224" t="str">
        <f>"T357-1"</f>
        <v>T357-1</v>
      </c>
      <c r="B224" t="str">
        <f>"SAL AL POGGIO DI STRUPPA VICINO AL 3-"</f>
        <v>SAL AL POGGIO DI STRUPPA VICINO AL 3-</v>
      </c>
      <c r="C224" t="str">
        <f t="shared" si="21"/>
        <v>5</v>
      </c>
      <c r="D224">
        <v>31</v>
      </c>
      <c r="E224" t="str">
        <f>"120"</f>
        <v>120</v>
      </c>
      <c r="F224" t="str">
        <f t="shared" si="20"/>
        <v>0000</v>
      </c>
    </row>
    <row r="225" spans="1:6">
      <c r="A225" t="str">
        <f>"T358-1"</f>
        <v>T358-1</v>
      </c>
      <c r="B225" t="str">
        <f>"VIA INFERIORE GAMBONIA VICINO AL 7-"</f>
        <v>VIA INFERIORE GAMBONIA VICINO AL 7-</v>
      </c>
      <c r="C225" t="str">
        <f t="shared" si="21"/>
        <v>5</v>
      </c>
      <c r="D225">
        <v>34</v>
      </c>
      <c r="E225" t="str">
        <f>"82"</f>
        <v>82</v>
      </c>
      <c r="F225" t="str">
        <f t="shared" si="20"/>
        <v>0000</v>
      </c>
    </row>
    <row r="226" spans="1:6">
      <c r="A226" t="str">
        <f>"T358-2"</f>
        <v>T358-2</v>
      </c>
      <c r="B226" t="str">
        <f>"VIA INFERIORE GAMBONIA VICINO AL 7-"</f>
        <v>VIA INFERIORE GAMBONIA VICINO AL 7-</v>
      </c>
      <c r="C226" t="str">
        <f t="shared" si="21"/>
        <v>5</v>
      </c>
      <c r="D226">
        <v>34</v>
      </c>
      <c r="E226" t="str">
        <f>"231"</f>
        <v>231</v>
      </c>
      <c r="F226" t="str">
        <f t="shared" si="20"/>
        <v>0000</v>
      </c>
    </row>
    <row r="227" spans="1:6">
      <c r="A227" t="str">
        <f>"T359-1"</f>
        <v>T359-1</v>
      </c>
      <c r="B227" t="str">
        <f>"VIA GIOVANNI TROSSARELLI VICINO AL 50-"</f>
        <v>VIA GIOVANNI TROSSARELLI VICINO AL 50-</v>
      </c>
      <c r="C227" t="str">
        <f t="shared" si="21"/>
        <v>5</v>
      </c>
      <c r="D227">
        <v>35</v>
      </c>
      <c r="E227" t="str">
        <f>"450"</f>
        <v>450</v>
      </c>
      <c r="F227" t="str">
        <f t="shared" si="20"/>
        <v>0000</v>
      </c>
    </row>
    <row r="228" spans="1:6">
      <c r="A228" t="str">
        <f>"T359-2"</f>
        <v>T359-2</v>
      </c>
      <c r="B228" t="str">
        <f>"VIA GIOVANNI TROSSARELLI VICINO AL 50-"</f>
        <v>VIA GIOVANNI TROSSARELLI VICINO AL 50-</v>
      </c>
      <c r="C228" t="str">
        <f t="shared" si="21"/>
        <v>5</v>
      </c>
      <c r="D228">
        <v>35</v>
      </c>
      <c r="E228" t="str">
        <f>"29"</f>
        <v>29</v>
      </c>
      <c r="F228" t="str">
        <f t="shared" si="20"/>
        <v>0000</v>
      </c>
    </row>
    <row r="229" spans="1:6">
      <c r="A229" t="str">
        <f>"T360-1"</f>
        <v>T360-1</v>
      </c>
      <c r="B229" t="str">
        <f>"VIA ARAONE DA STRUPPA VICINO AL 14-"</f>
        <v>VIA ARAONE DA STRUPPA VICINO AL 14-</v>
      </c>
      <c r="C229" t="str">
        <f t="shared" si="21"/>
        <v>5</v>
      </c>
      <c r="D229">
        <v>32</v>
      </c>
      <c r="E229" t="str">
        <f>"5"</f>
        <v>5</v>
      </c>
      <c r="F229" t="str">
        <f t="shared" si="20"/>
        <v>0000</v>
      </c>
    </row>
    <row r="230" spans="1:6">
      <c r="A230" t="str">
        <f>"T361-1"</f>
        <v>T361-1</v>
      </c>
      <c r="B230" t="str">
        <f>"VIA COSTA DI SAN SIRO VICINO AL 8-"</f>
        <v>VIA COSTA DI SAN SIRO VICINO AL 8-</v>
      </c>
      <c r="C230" t="str">
        <f t="shared" si="21"/>
        <v>5</v>
      </c>
      <c r="D230">
        <v>30</v>
      </c>
      <c r="E230" t="str">
        <f>"75"</f>
        <v>75</v>
      </c>
      <c r="F230" t="str">
        <f t="shared" si="20"/>
        <v>0000</v>
      </c>
    </row>
    <row r="231" spans="1:6">
      <c r="A231" t="str">
        <f>"T361-2"</f>
        <v>T361-2</v>
      </c>
      <c r="B231" t="str">
        <f>"VIA COSTA DI SAN SIRO VICINO AL 8-"</f>
        <v>VIA COSTA DI SAN SIRO VICINO AL 8-</v>
      </c>
      <c r="C231" t="str">
        <f t="shared" si="21"/>
        <v>5</v>
      </c>
      <c r="D231">
        <v>30</v>
      </c>
      <c r="E231" t="str">
        <f>"72"</f>
        <v>72</v>
      </c>
      <c r="F231" t="str">
        <f t="shared" si="20"/>
        <v>0000</v>
      </c>
    </row>
    <row r="232" spans="1:6">
      <c r="A232" t="str">
        <f>"T361-3"</f>
        <v>T361-3</v>
      </c>
      <c r="B232" t="str">
        <f>"VIA COSTA DI SAN SIRO VICINO AL 8-"</f>
        <v>VIA COSTA DI SAN SIRO VICINO AL 8-</v>
      </c>
      <c r="C232" t="str">
        <f t="shared" si="21"/>
        <v>5</v>
      </c>
      <c r="D232">
        <v>30</v>
      </c>
      <c r="E232" t="str">
        <f>"143"</f>
        <v>143</v>
      </c>
      <c r="F232" t="str">
        <f t="shared" si="20"/>
        <v>0000</v>
      </c>
    </row>
    <row r="233" spans="1:6">
      <c r="A233" t="str">
        <f>"T363-1"</f>
        <v>T363-1</v>
      </c>
      <c r="B233" t="str">
        <f>"SAL INF S COSIMO STRUPPA VICINO AL 3-"</f>
        <v>SAL INF S COSIMO STRUPPA VICINO AL 3-</v>
      </c>
      <c r="C233" t="str">
        <f t="shared" ref="C233:C263" si="22">"5"</f>
        <v>5</v>
      </c>
      <c r="D233">
        <v>35</v>
      </c>
      <c r="E233" t="str">
        <f>"503"</f>
        <v>503</v>
      </c>
      <c r="F233" t="str">
        <f t="shared" si="20"/>
        <v>0000</v>
      </c>
    </row>
    <row r="234" spans="1:6">
      <c r="A234" t="str">
        <f>"T370-1"</f>
        <v>T370-1</v>
      </c>
      <c r="B234" t="str">
        <f>"SALITA RUINA VICINO AL 5-"</f>
        <v>SALITA RUINA VICINO AL 5-</v>
      </c>
      <c r="C234" t="str">
        <f t="shared" si="22"/>
        <v>5</v>
      </c>
      <c r="D234">
        <v>36</v>
      </c>
      <c r="E234" t="str">
        <f>"145"</f>
        <v>145</v>
      </c>
      <c r="F234" t="str">
        <f t="shared" si="20"/>
        <v>0000</v>
      </c>
    </row>
    <row r="235" spans="1:6">
      <c r="A235" t="str">
        <f>"T370-2"</f>
        <v>T370-2</v>
      </c>
      <c r="B235" t="str">
        <f>"SALITA RUINA VICINO AL 5-"</f>
        <v>SALITA RUINA VICINO AL 5-</v>
      </c>
      <c r="C235" t="str">
        <f t="shared" si="22"/>
        <v>5</v>
      </c>
      <c r="D235">
        <v>36</v>
      </c>
      <c r="E235" t="str">
        <f>"308"</f>
        <v>308</v>
      </c>
      <c r="F235" t="str">
        <f t="shared" si="20"/>
        <v>0000</v>
      </c>
    </row>
    <row r="236" spans="1:6">
      <c r="A236" t="str">
        <f>"T371-1"</f>
        <v>T371-1</v>
      </c>
      <c r="B236" t="str">
        <f>"VIA ARAONE DA STRUPPA VICINO AL 10-"</f>
        <v>VIA ARAONE DA STRUPPA VICINO AL 10-</v>
      </c>
      <c r="C236" t="str">
        <f t="shared" si="22"/>
        <v>5</v>
      </c>
      <c r="D236">
        <v>33</v>
      </c>
      <c r="E236" t="str">
        <f>"179"</f>
        <v>179</v>
      </c>
      <c r="F236" t="str">
        <f t="shared" ref="F236:F263" si="23">"0000"</f>
        <v>0000</v>
      </c>
    </row>
    <row r="237" spans="1:6">
      <c r="A237" t="str">
        <f>"T371-2"</f>
        <v>T371-2</v>
      </c>
      <c r="B237" t="str">
        <f>"VIA ARAONE DA STRUPPA VICINO AL 10-"</f>
        <v>VIA ARAONE DA STRUPPA VICINO AL 10-</v>
      </c>
      <c r="C237" t="str">
        <f t="shared" si="22"/>
        <v>5</v>
      </c>
      <c r="D237">
        <v>33</v>
      </c>
      <c r="E237" t="str">
        <f>"180"</f>
        <v>180</v>
      </c>
      <c r="F237" t="str">
        <f t="shared" si="23"/>
        <v>0000</v>
      </c>
    </row>
    <row r="238" spans="1:6">
      <c r="A238" t="str">
        <f>"T372-1"</f>
        <v>T372-1</v>
      </c>
      <c r="B238" t="str">
        <f t="shared" ref="B238:B243" si="24">"VIA ARAONE DA STRUPPA VICINO AL 14-"</f>
        <v>VIA ARAONE DA STRUPPA VICINO AL 14-</v>
      </c>
      <c r="C238" t="str">
        <f t="shared" si="22"/>
        <v>5</v>
      </c>
      <c r="D238">
        <v>32</v>
      </c>
      <c r="E238" t="str">
        <f>"3"</f>
        <v>3</v>
      </c>
      <c r="F238" t="str">
        <f t="shared" si="23"/>
        <v>0000</v>
      </c>
    </row>
    <row r="239" spans="1:6">
      <c r="A239" t="str">
        <f>"T372-2"</f>
        <v>T372-2</v>
      </c>
      <c r="B239" t="str">
        <f t="shared" si="24"/>
        <v>VIA ARAONE DA STRUPPA VICINO AL 14-</v>
      </c>
      <c r="C239" t="str">
        <f t="shared" si="22"/>
        <v>5</v>
      </c>
      <c r="D239">
        <v>32</v>
      </c>
      <c r="E239" t="str">
        <f>"7"</f>
        <v>7</v>
      </c>
      <c r="F239" t="str">
        <f t="shared" si="23"/>
        <v>0000</v>
      </c>
    </row>
    <row r="240" spans="1:6">
      <c r="A240" t="str">
        <f>"T372-3"</f>
        <v>T372-3</v>
      </c>
      <c r="B240" t="str">
        <f t="shared" si="24"/>
        <v>VIA ARAONE DA STRUPPA VICINO AL 14-</v>
      </c>
      <c r="C240" t="str">
        <f t="shared" si="22"/>
        <v>5</v>
      </c>
      <c r="D240">
        <v>32</v>
      </c>
      <c r="E240" t="str">
        <f>"337"</f>
        <v>337</v>
      </c>
      <c r="F240" t="str">
        <f t="shared" si="23"/>
        <v>0000</v>
      </c>
    </row>
    <row r="241" spans="1:6">
      <c r="A241" t="str">
        <f>"T372-4"</f>
        <v>T372-4</v>
      </c>
      <c r="B241" t="str">
        <f t="shared" si="24"/>
        <v>VIA ARAONE DA STRUPPA VICINO AL 14-</v>
      </c>
      <c r="C241" t="str">
        <f t="shared" si="22"/>
        <v>5</v>
      </c>
      <c r="D241">
        <v>32</v>
      </c>
      <c r="E241" t="str">
        <f>"338"</f>
        <v>338</v>
      </c>
      <c r="F241" t="str">
        <f t="shared" si="23"/>
        <v>0000</v>
      </c>
    </row>
    <row r="242" spans="1:6">
      <c r="A242" t="str">
        <f>"T372-5"</f>
        <v>T372-5</v>
      </c>
      <c r="B242" t="str">
        <f t="shared" si="24"/>
        <v>VIA ARAONE DA STRUPPA VICINO AL 14-</v>
      </c>
      <c r="C242" t="str">
        <f t="shared" si="22"/>
        <v>5</v>
      </c>
      <c r="D242">
        <v>32</v>
      </c>
      <c r="E242" t="str">
        <f>"353"</f>
        <v>353</v>
      </c>
      <c r="F242" t="str">
        <f t="shared" si="23"/>
        <v>0000</v>
      </c>
    </row>
    <row r="243" spans="1:6">
      <c r="A243" t="str">
        <f>"T372-6"</f>
        <v>T372-6</v>
      </c>
      <c r="B243" t="str">
        <f t="shared" si="24"/>
        <v>VIA ARAONE DA STRUPPA VICINO AL 14-</v>
      </c>
      <c r="C243" t="str">
        <f t="shared" si="22"/>
        <v>5</v>
      </c>
      <c r="D243">
        <v>32</v>
      </c>
      <c r="E243" t="str">
        <f>"A"</f>
        <v>A</v>
      </c>
      <c r="F243" t="str">
        <f t="shared" si="23"/>
        <v>0000</v>
      </c>
    </row>
    <row r="244" spans="1:6">
      <c r="A244" t="str">
        <f>"T373-1"</f>
        <v>T373-1</v>
      </c>
      <c r="B244" t="str">
        <f>"VIA GIOVANNI AICARDI VICINO AL 1-"</f>
        <v>VIA GIOVANNI AICARDI VICINO AL 1-</v>
      </c>
      <c r="C244" t="str">
        <f t="shared" si="22"/>
        <v>5</v>
      </c>
      <c r="D244">
        <v>28</v>
      </c>
      <c r="E244" t="str">
        <f>"197"</f>
        <v>197</v>
      </c>
      <c r="F244" t="str">
        <f t="shared" si="23"/>
        <v>0000</v>
      </c>
    </row>
    <row r="245" spans="1:6">
      <c r="A245" t="str">
        <f>"T373-2"</f>
        <v>T373-2</v>
      </c>
      <c r="B245" t="str">
        <f>"VIA GIOVANNI AICARDI VICINO AL 1-"</f>
        <v>VIA GIOVANNI AICARDI VICINO AL 1-</v>
      </c>
      <c r="C245" t="str">
        <f t="shared" si="22"/>
        <v>5</v>
      </c>
      <c r="D245">
        <v>28</v>
      </c>
      <c r="E245" t="str">
        <f>"199"</f>
        <v>199</v>
      </c>
      <c r="F245" t="str">
        <f t="shared" si="23"/>
        <v>0000</v>
      </c>
    </row>
    <row r="246" spans="1:6">
      <c r="A246" t="str">
        <f>"T373-3"</f>
        <v>T373-3</v>
      </c>
      <c r="B246" t="str">
        <f>"VIA GIOVANNI AICARDI VICINO AL 1-"</f>
        <v>VIA GIOVANNI AICARDI VICINO AL 1-</v>
      </c>
      <c r="C246" t="str">
        <f t="shared" si="22"/>
        <v>5</v>
      </c>
      <c r="D246">
        <v>33</v>
      </c>
      <c r="E246" t="str">
        <f>"54"</f>
        <v>54</v>
      </c>
      <c r="F246" t="str">
        <f t="shared" si="23"/>
        <v>0000</v>
      </c>
    </row>
    <row r="247" spans="1:6">
      <c r="A247" t="str">
        <f>"T373-4"</f>
        <v>T373-4</v>
      </c>
      <c r="B247" t="str">
        <f>"VIA GIOVANNI AICARDI VICINO AL 1-"</f>
        <v>VIA GIOVANNI AICARDI VICINO AL 1-</v>
      </c>
      <c r="C247" t="str">
        <f t="shared" si="22"/>
        <v>5</v>
      </c>
      <c r="D247">
        <v>33</v>
      </c>
      <c r="E247" t="str">
        <f>"55"</f>
        <v>55</v>
      </c>
      <c r="F247" t="str">
        <f t="shared" si="23"/>
        <v>0000</v>
      </c>
    </row>
    <row r="248" spans="1:6">
      <c r="A248" t="str">
        <f>"T374-1"</f>
        <v>T374-1</v>
      </c>
      <c r="B248" t="str">
        <f>"SALITA CA DEI BAGHINI VICINO AL 3-"</f>
        <v>SALITA CA DEI BAGHINI VICINO AL 3-</v>
      </c>
      <c r="C248" t="str">
        <f t="shared" si="22"/>
        <v>5</v>
      </c>
      <c r="D248">
        <v>32</v>
      </c>
      <c r="E248" t="str">
        <f>"99999"</f>
        <v>99999</v>
      </c>
      <c r="F248" t="str">
        <f t="shared" si="23"/>
        <v>0000</v>
      </c>
    </row>
    <row r="249" spans="1:6">
      <c r="A249" t="str">
        <f>"T376-1"</f>
        <v>T376-1</v>
      </c>
      <c r="B249" t="str">
        <f>"VIA STRUPPA VICINO AL 23-"</f>
        <v>VIA STRUPPA VICINO AL 23-</v>
      </c>
      <c r="C249" t="str">
        <f t="shared" si="22"/>
        <v>5</v>
      </c>
      <c r="D249">
        <v>34</v>
      </c>
      <c r="E249" t="str">
        <f>"408"</f>
        <v>408</v>
      </c>
      <c r="F249" t="str">
        <f t="shared" si="23"/>
        <v>0000</v>
      </c>
    </row>
    <row r="250" spans="1:6">
      <c r="A250" t="str">
        <f>"T377-1"</f>
        <v>T377-1</v>
      </c>
      <c r="B250" t="str">
        <f>"SALITA GEROLAMO BERTORA VICINO AL 3-"</f>
        <v>SALITA GEROLAMO BERTORA VICINO AL 3-</v>
      </c>
      <c r="C250" t="str">
        <f t="shared" si="22"/>
        <v>5</v>
      </c>
      <c r="D250">
        <v>33</v>
      </c>
      <c r="E250" t="str">
        <f>"99999"</f>
        <v>99999</v>
      </c>
      <c r="F250" t="str">
        <f t="shared" si="23"/>
        <v>0000</v>
      </c>
    </row>
    <row r="251" spans="1:6">
      <c r="A251" t="str">
        <f>"T377-2"</f>
        <v>T377-2</v>
      </c>
      <c r="B251" t="str">
        <f>"SALITA GEROLAMO BERTORA VICINO AL 3-"</f>
        <v>SALITA GEROLAMO BERTORA VICINO AL 3-</v>
      </c>
      <c r="C251" t="str">
        <f t="shared" si="22"/>
        <v>5</v>
      </c>
      <c r="D251">
        <v>33</v>
      </c>
      <c r="E251" t="str">
        <f>"632"</f>
        <v>632</v>
      </c>
      <c r="F251" t="str">
        <f t="shared" si="23"/>
        <v>0000</v>
      </c>
    </row>
    <row r="252" spans="1:6">
      <c r="A252" t="str">
        <f>"T388-1"</f>
        <v>T388-1</v>
      </c>
      <c r="B252" t="str">
        <f>"SALITA RUINA VICINO AL 5-"</f>
        <v>SALITA RUINA VICINO AL 5-</v>
      </c>
      <c r="C252" t="str">
        <f t="shared" si="22"/>
        <v>5</v>
      </c>
      <c r="D252">
        <v>36</v>
      </c>
      <c r="E252" t="str">
        <f>"146"</f>
        <v>146</v>
      </c>
      <c r="F252" t="str">
        <f t="shared" si="23"/>
        <v>0000</v>
      </c>
    </row>
    <row r="253" spans="1:6">
      <c r="A253" t="str">
        <f>"T388-2"</f>
        <v>T388-2</v>
      </c>
      <c r="B253" t="str">
        <f>"SALITA RUINA VICINO AL 5-"</f>
        <v>SALITA RUINA VICINO AL 5-</v>
      </c>
      <c r="C253" t="str">
        <f t="shared" si="22"/>
        <v>5</v>
      </c>
      <c r="D253">
        <v>36</v>
      </c>
      <c r="E253" t="str">
        <f>"288"</f>
        <v>288</v>
      </c>
      <c r="F253" t="str">
        <f t="shared" si="23"/>
        <v>0000</v>
      </c>
    </row>
    <row r="254" spans="1:6">
      <c r="A254" t="str">
        <f>"T390-1"</f>
        <v>T390-1</v>
      </c>
      <c r="B254" t="str">
        <f>"VIA ROCCATAGLIATA VICINO AL 4-"</f>
        <v>VIA ROCCATAGLIATA VICINO AL 4-</v>
      </c>
      <c r="C254" t="str">
        <f t="shared" si="22"/>
        <v>5</v>
      </c>
      <c r="D254">
        <v>9</v>
      </c>
      <c r="E254" t="str">
        <f>"99999"</f>
        <v>99999</v>
      </c>
      <c r="F254" t="str">
        <f t="shared" si="23"/>
        <v>0000</v>
      </c>
    </row>
    <row r="255" spans="1:6">
      <c r="A255" t="str">
        <f>"T391-1"</f>
        <v>T391-1</v>
      </c>
      <c r="B255" t="str">
        <f>"VIA GIOVANNI AICARDI VICINO AL 7-"</f>
        <v>VIA GIOVANNI AICARDI VICINO AL 7-</v>
      </c>
      <c r="C255" t="str">
        <f t="shared" si="22"/>
        <v>5</v>
      </c>
      <c r="D255">
        <v>28</v>
      </c>
      <c r="E255" t="str">
        <f>"196"</f>
        <v>196</v>
      </c>
      <c r="F255" t="str">
        <f t="shared" si="23"/>
        <v>0000</v>
      </c>
    </row>
    <row r="256" spans="1:6">
      <c r="A256" t="str">
        <f>"T391-2"</f>
        <v>T391-2</v>
      </c>
      <c r="B256" t="str">
        <f>"VIA GIOVANNI AICARDI VICINO AL 7-"</f>
        <v>VIA GIOVANNI AICARDI VICINO AL 7-</v>
      </c>
      <c r="C256" t="str">
        <f t="shared" si="22"/>
        <v>5</v>
      </c>
      <c r="D256">
        <v>28</v>
      </c>
      <c r="E256" t="str">
        <f>"232"</f>
        <v>232</v>
      </c>
      <c r="F256" t="str">
        <f t="shared" si="23"/>
        <v>0000</v>
      </c>
    </row>
    <row r="257" spans="1:6">
      <c r="A257" t="str">
        <f>"T391-3"</f>
        <v>T391-3</v>
      </c>
      <c r="B257" t="str">
        <f>"VIA GIOVANNI AICARDI VICINO AL 7-"</f>
        <v>VIA GIOVANNI AICARDI VICINO AL 7-</v>
      </c>
      <c r="C257" t="str">
        <f t="shared" si="22"/>
        <v>5</v>
      </c>
      <c r="D257">
        <v>28</v>
      </c>
      <c r="E257" t="str">
        <f>"162"</f>
        <v>162</v>
      </c>
      <c r="F257" t="str">
        <f t="shared" si="23"/>
        <v>0000</v>
      </c>
    </row>
    <row r="258" spans="1:6">
      <c r="A258" t="str">
        <f>"T391-4"</f>
        <v>T391-4</v>
      </c>
      <c r="B258" t="str">
        <f>"VIA GIOVANNI AICARDI VICINO AL 7-"</f>
        <v>VIA GIOVANNI AICARDI VICINO AL 7-</v>
      </c>
      <c r="C258" t="str">
        <f t="shared" si="22"/>
        <v>5</v>
      </c>
      <c r="D258">
        <v>29</v>
      </c>
      <c r="E258" t="str">
        <f>"4"</f>
        <v>4</v>
      </c>
      <c r="F258" t="str">
        <f t="shared" si="23"/>
        <v>0000</v>
      </c>
    </row>
    <row r="259" spans="1:6">
      <c r="A259" t="str">
        <f>"T391-5"</f>
        <v>T391-5</v>
      </c>
      <c r="B259" t="str">
        <f>"VIA GIOVANNI AICARDI VICINO AL 7-"</f>
        <v>VIA GIOVANNI AICARDI VICINO AL 7-</v>
      </c>
      <c r="C259" t="str">
        <f t="shared" si="22"/>
        <v>5</v>
      </c>
      <c r="D259">
        <v>34</v>
      </c>
      <c r="E259" t="str">
        <f>"1"</f>
        <v>1</v>
      </c>
      <c r="F259" t="str">
        <f t="shared" si="23"/>
        <v>0000</v>
      </c>
    </row>
    <row r="260" spans="1:6">
      <c r="A260" t="str">
        <f>"T392-1"</f>
        <v>T392-1</v>
      </c>
      <c r="B260" t="str">
        <f>"VIA GIOVANNI AICARDI VICINO AL 12-"</f>
        <v>VIA GIOVANNI AICARDI VICINO AL 12-</v>
      </c>
      <c r="C260" t="str">
        <f t="shared" si="22"/>
        <v>5</v>
      </c>
      <c r="D260">
        <v>34</v>
      </c>
      <c r="E260" t="str">
        <f>"14"</f>
        <v>14</v>
      </c>
      <c r="F260" t="str">
        <f t="shared" si="23"/>
        <v>0000</v>
      </c>
    </row>
    <row r="261" spans="1:6">
      <c r="A261" t="str">
        <f>"T392-2"</f>
        <v>T392-2</v>
      </c>
      <c r="B261" t="str">
        <f>"VIA GIOVANNI AICARDI VICINO AL 12-"</f>
        <v>VIA GIOVANNI AICARDI VICINO AL 12-</v>
      </c>
      <c r="C261" t="str">
        <f t="shared" si="22"/>
        <v>5</v>
      </c>
      <c r="D261">
        <v>29</v>
      </c>
      <c r="E261" t="str">
        <f>"306"</f>
        <v>306</v>
      </c>
      <c r="F261" t="str">
        <f t="shared" si="23"/>
        <v>0000</v>
      </c>
    </row>
    <row r="262" spans="1:6">
      <c r="A262" t="str">
        <f>"T392-3"</f>
        <v>T392-3</v>
      </c>
      <c r="B262" t="str">
        <f>"VIA GIOVANNI AICARDI VICINO AL 12-"</f>
        <v>VIA GIOVANNI AICARDI VICINO AL 12-</v>
      </c>
      <c r="C262" t="str">
        <f t="shared" si="22"/>
        <v>5</v>
      </c>
      <c r="D262">
        <v>29</v>
      </c>
      <c r="E262" t="str">
        <f>"307"</f>
        <v>307</v>
      </c>
      <c r="F262" t="str">
        <f t="shared" si="23"/>
        <v>0000</v>
      </c>
    </row>
    <row r="263" spans="1:6">
      <c r="A263" t="str">
        <f>"T392-4"</f>
        <v>T392-4</v>
      </c>
      <c r="B263" t="str">
        <f>"VIA GIOVANNI AICARDI VICINO AL 12-"</f>
        <v>VIA GIOVANNI AICARDI VICINO AL 12-</v>
      </c>
      <c r="C263" t="str">
        <f t="shared" si="22"/>
        <v>5</v>
      </c>
      <c r="D263">
        <v>29</v>
      </c>
      <c r="E263" t="str">
        <f>"4"</f>
        <v>4</v>
      </c>
      <c r="F263" t="str">
        <f t="shared" si="23"/>
        <v>0000</v>
      </c>
    </row>
    <row r="264" spans="1:6">
      <c r="A264" t="str">
        <f>"T393-1"</f>
        <v>T393-1</v>
      </c>
      <c r="B264" t="str">
        <f t="shared" ref="B264:B277" si="25">"VIA ANTONIO BURLANDO VICINO AL 25B-"</f>
        <v>VIA ANTONIO BURLANDO VICINO AL 25B-</v>
      </c>
      <c r="C264" t="str">
        <f t="shared" ref="C264:C275" si="26">"STA"</f>
        <v>STA</v>
      </c>
      <c r="D264">
        <v>32</v>
      </c>
      <c r="E264" t="str">
        <f t="shared" ref="E264:E270" si="27">"209"</f>
        <v>209</v>
      </c>
      <c r="F264" t="str">
        <f>"1"</f>
        <v>1</v>
      </c>
    </row>
    <row r="265" spans="1:6">
      <c r="A265" t="str">
        <f>"T393-2"</f>
        <v>T393-2</v>
      </c>
      <c r="B265" t="str">
        <f t="shared" si="25"/>
        <v>VIA ANTONIO BURLANDO VICINO AL 25B-</v>
      </c>
      <c r="C265" t="str">
        <f t="shared" si="26"/>
        <v>STA</v>
      </c>
      <c r="D265">
        <v>32</v>
      </c>
      <c r="E265" t="str">
        <f t="shared" si="27"/>
        <v>209</v>
      </c>
      <c r="F265" t="str">
        <f>"2"</f>
        <v>2</v>
      </c>
    </row>
    <row r="266" spans="1:6">
      <c r="A266" t="str">
        <f>"T393-3"</f>
        <v>T393-3</v>
      </c>
      <c r="B266" t="str">
        <f t="shared" si="25"/>
        <v>VIA ANTONIO BURLANDO VICINO AL 25B-</v>
      </c>
      <c r="C266" t="str">
        <f t="shared" si="26"/>
        <v>STA</v>
      </c>
      <c r="D266">
        <v>32</v>
      </c>
      <c r="E266" t="str">
        <f t="shared" si="27"/>
        <v>209</v>
      </c>
      <c r="F266" t="str">
        <f>"3"</f>
        <v>3</v>
      </c>
    </row>
    <row r="267" spans="1:6">
      <c r="A267" t="str">
        <f>"T393-4"</f>
        <v>T393-4</v>
      </c>
      <c r="B267" t="str">
        <f t="shared" si="25"/>
        <v>VIA ANTONIO BURLANDO VICINO AL 25B-</v>
      </c>
      <c r="C267" t="str">
        <f t="shared" si="26"/>
        <v>STA</v>
      </c>
      <c r="D267">
        <v>32</v>
      </c>
      <c r="E267" t="str">
        <f t="shared" si="27"/>
        <v>209</v>
      </c>
      <c r="F267" t="str">
        <f>"4"</f>
        <v>4</v>
      </c>
    </row>
    <row r="268" spans="1:6">
      <c r="A268" t="str">
        <f>"T393-5"</f>
        <v>T393-5</v>
      </c>
      <c r="B268" t="str">
        <f t="shared" si="25"/>
        <v>VIA ANTONIO BURLANDO VICINO AL 25B-</v>
      </c>
      <c r="C268" t="str">
        <f t="shared" si="26"/>
        <v>STA</v>
      </c>
      <c r="D268">
        <v>32</v>
      </c>
      <c r="E268" t="str">
        <f t="shared" si="27"/>
        <v>209</v>
      </c>
      <c r="F268" t="str">
        <f>"5"</f>
        <v>5</v>
      </c>
    </row>
    <row r="269" spans="1:6">
      <c r="A269" t="str">
        <f>"T393-6"</f>
        <v>T393-6</v>
      </c>
      <c r="B269" t="str">
        <f t="shared" si="25"/>
        <v>VIA ANTONIO BURLANDO VICINO AL 25B-</v>
      </c>
      <c r="C269" t="str">
        <f t="shared" si="26"/>
        <v>STA</v>
      </c>
      <c r="D269">
        <v>32</v>
      </c>
      <c r="E269" t="str">
        <f t="shared" si="27"/>
        <v>209</v>
      </c>
      <c r="F269" t="str">
        <f>"6"</f>
        <v>6</v>
      </c>
    </row>
    <row r="270" spans="1:6">
      <c r="A270" t="str">
        <f>"T393-7"</f>
        <v>T393-7</v>
      </c>
      <c r="B270" t="str">
        <f t="shared" si="25"/>
        <v>VIA ANTONIO BURLANDO VICINO AL 25B-</v>
      </c>
      <c r="C270" t="str">
        <f t="shared" si="26"/>
        <v>STA</v>
      </c>
      <c r="D270">
        <v>32</v>
      </c>
      <c r="E270" t="str">
        <f t="shared" si="27"/>
        <v>209</v>
      </c>
      <c r="F270" t="str">
        <f>"7"</f>
        <v>7</v>
      </c>
    </row>
    <row r="271" spans="1:6">
      <c r="A271" t="str">
        <f>"T393-7"</f>
        <v>T393-7</v>
      </c>
      <c r="B271" t="str">
        <f t="shared" si="25"/>
        <v>VIA ANTONIO BURLANDO VICINO AL 25B-</v>
      </c>
      <c r="C271" t="str">
        <f t="shared" si="26"/>
        <v>STA</v>
      </c>
      <c r="D271">
        <v>32</v>
      </c>
      <c r="E271" t="str">
        <f>"207"</f>
        <v>207</v>
      </c>
      <c r="F271" t="str">
        <f>"0000"</f>
        <v>0000</v>
      </c>
    </row>
    <row r="272" spans="1:6">
      <c r="A272" t="str">
        <f>"T393-8"</f>
        <v>T393-8</v>
      </c>
      <c r="B272" t="str">
        <f t="shared" si="25"/>
        <v>VIA ANTONIO BURLANDO VICINO AL 25B-</v>
      </c>
      <c r="C272" t="str">
        <f t="shared" si="26"/>
        <v>STA</v>
      </c>
      <c r="D272">
        <v>32</v>
      </c>
      <c r="E272" t="str">
        <f>"209"</f>
        <v>209</v>
      </c>
      <c r="F272" t="str">
        <f>"8"</f>
        <v>8</v>
      </c>
    </row>
    <row r="273" spans="1:6">
      <c r="A273" t="str">
        <f>"T393-8"</f>
        <v>T393-8</v>
      </c>
      <c r="B273" t="str">
        <f t="shared" si="25"/>
        <v>VIA ANTONIO BURLANDO VICINO AL 25B-</v>
      </c>
      <c r="C273" t="str">
        <f t="shared" si="26"/>
        <v>STA</v>
      </c>
      <c r="D273">
        <v>32</v>
      </c>
      <c r="E273" t="str">
        <f>"208"</f>
        <v>208</v>
      </c>
      <c r="F273" t="str">
        <f t="shared" ref="F273:F304" si="28">"0000"</f>
        <v>0000</v>
      </c>
    </row>
    <row r="274" spans="1:6">
      <c r="A274" t="str">
        <f>"T393-9"</f>
        <v>T393-9</v>
      </c>
      <c r="B274" t="str">
        <f t="shared" si="25"/>
        <v>VIA ANTONIO BURLANDO VICINO AL 25B-</v>
      </c>
      <c r="C274" t="str">
        <f t="shared" si="26"/>
        <v>STA</v>
      </c>
      <c r="D274">
        <v>32</v>
      </c>
      <c r="E274" t="str">
        <f>"213"</f>
        <v>213</v>
      </c>
      <c r="F274" t="str">
        <f t="shared" si="28"/>
        <v>0000</v>
      </c>
    </row>
    <row r="275" spans="1:6">
      <c r="A275" t="str">
        <f>"T393-9"</f>
        <v>T393-9</v>
      </c>
      <c r="B275" t="str">
        <f t="shared" si="25"/>
        <v>VIA ANTONIO BURLANDO VICINO AL 25B-</v>
      </c>
      <c r="C275" t="str">
        <f t="shared" si="26"/>
        <v>STA</v>
      </c>
      <c r="D275">
        <v>32</v>
      </c>
      <c r="E275" t="str">
        <f>"212"</f>
        <v>212</v>
      </c>
      <c r="F275" t="str">
        <f t="shared" si="28"/>
        <v>0000</v>
      </c>
    </row>
    <row r="276" spans="1:6">
      <c r="A276" t="str">
        <f>"T393-10"</f>
        <v>T393-10</v>
      </c>
      <c r="B276" t="str">
        <f t="shared" si="25"/>
        <v>VIA ANTONIO BURLANDO VICINO AL 25B-</v>
      </c>
      <c r="C276" t="str">
        <f t="shared" ref="C276:C307" si="29">"1"</f>
        <v>1</v>
      </c>
      <c r="D276">
        <v>19</v>
      </c>
      <c r="E276" t="str">
        <f>"210"</f>
        <v>210</v>
      </c>
      <c r="F276" t="str">
        <f t="shared" si="28"/>
        <v>0000</v>
      </c>
    </row>
    <row r="277" spans="1:6">
      <c r="A277" t="str">
        <f>"T393-11"</f>
        <v>T393-11</v>
      </c>
      <c r="B277" t="str">
        <f t="shared" si="25"/>
        <v>VIA ANTONIO BURLANDO VICINO AL 25B-</v>
      </c>
      <c r="C277" t="str">
        <f t="shared" si="29"/>
        <v>1</v>
      </c>
      <c r="D277">
        <v>19</v>
      </c>
      <c r="E277" t="str">
        <f>"211"</f>
        <v>211</v>
      </c>
      <c r="F277" t="str">
        <f t="shared" si="28"/>
        <v>0000</v>
      </c>
    </row>
    <row r="278" spans="1:6">
      <c r="A278" t="str">
        <f>"T394-1"</f>
        <v>T394-1</v>
      </c>
      <c r="B278" t="str">
        <f>"VIA DEI PLATANI VICINO AL 5-"</f>
        <v>VIA DEI PLATANI VICINO AL 5-</v>
      </c>
      <c r="C278" t="str">
        <f t="shared" si="29"/>
        <v>1</v>
      </c>
      <c r="D278">
        <v>21</v>
      </c>
      <c r="E278" t="str">
        <f>"1493"</f>
        <v>1493</v>
      </c>
      <c r="F278" t="str">
        <f t="shared" si="28"/>
        <v>0000</v>
      </c>
    </row>
    <row r="279" spans="1:6">
      <c r="A279" t="str">
        <f>"T394-2"</f>
        <v>T394-2</v>
      </c>
      <c r="B279" t="str">
        <f>"VIA DEI PLATANI VICINO AL 5-"</f>
        <v>VIA DEI PLATANI VICINO AL 5-</v>
      </c>
      <c r="C279" t="str">
        <f t="shared" si="29"/>
        <v>1</v>
      </c>
      <c r="D279">
        <v>21</v>
      </c>
      <c r="E279" t="str">
        <f>"52"</f>
        <v>52</v>
      </c>
      <c r="F279" t="str">
        <f t="shared" si="28"/>
        <v>0000</v>
      </c>
    </row>
    <row r="280" spans="1:6">
      <c r="A280" t="str">
        <f>"T394-3"</f>
        <v>T394-3</v>
      </c>
      <c r="B280" t="str">
        <f>"VIA DEI PLATANI VICINO AL 5-"</f>
        <v>VIA DEI PLATANI VICINO AL 5-</v>
      </c>
      <c r="C280" t="str">
        <f t="shared" si="29"/>
        <v>1</v>
      </c>
      <c r="D280">
        <v>21</v>
      </c>
      <c r="E280" t="str">
        <f>"1495"</f>
        <v>1495</v>
      </c>
      <c r="F280" t="str">
        <f t="shared" si="28"/>
        <v>0000</v>
      </c>
    </row>
    <row r="281" spans="1:6">
      <c r="A281" t="str">
        <f>"T396-1"</f>
        <v>T396-1</v>
      </c>
      <c r="B281" t="str">
        <f>"LUNGOBISAGNO ISTRIA VICINO AL 35-"</f>
        <v>LUNGOBISAGNO ISTRIA VICINO AL 35-</v>
      </c>
      <c r="C281" t="str">
        <f t="shared" si="29"/>
        <v>1</v>
      </c>
      <c r="D281">
        <v>10</v>
      </c>
      <c r="E281" t="str">
        <f>"124"</f>
        <v>124</v>
      </c>
      <c r="F281" t="str">
        <f t="shared" si="28"/>
        <v>0000</v>
      </c>
    </row>
    <row r="282" spans="1:6">
      <c r="A282" t="str">
        <f>"T396-2"</f>
        <v>T396-2</v>
      </c>
      <c r="B282" t="str">
        <f>"LUNGOBISAGNO ISTRIA VICINO AL 35-"</f>
        <v>LUNGOBISAGNO ISTRIA VICINO AL 35-</v>
      </c>
      <c r="C282" t="str">
        <f t="shared" si="29"/>
        <v>1</v>
      </c>
      <c r="D282">
        <v>10</v>
      </c>
      <c r="E282" t="str">
        <f>"116"</f>
        <v>116</v>
      </c>
      <c r="F282" t="str">
        <f t="shared" si="28"/>
        <v>0000</v>
      </c>
    </row>
    <row r="283" spans="1:6">
      <c r="A283" t="str">
        <f>"T396-3"</f>
        <v>T396-3</v>
      </c>
      <c r="B283" t="str">
        <f>"LUNGOBISAGNO ISTRIA VICINO AL 35-"</f>
        <v>LUNGOBISAGNO ISTRIA VICINO AL 35-</v>
      </c>
      <c r="C283" t="str">
        <f t="shared" si="29"/>
        <v>1</v>
      </c>
      <c r="D283">
        <v>10</v>
      </c>
      <c r="E283" t="str">
        <f>"117"</f>
        <v>117</v>
      </c>
      <c r="F283" t="str">
        <f t="shared" si="28"/>
        <v>0000</v>
      </c>
    </row>
    <row r="284" spans="1:6">
      <c r="A284" t="str">
        <f>"T396-4"</f>
        <v>T396-4</v>
      </c>
      <c r="B284" t="str">
        <f>"LUNGOBISAGNO ISTRIA VICINO AL 35-"</f>
        <v>LUNGOBISAGNO ISTRIA VICINO AL 35-</v>
      </c>
      <c r="C284" t="str">
        <f t="shared" si="29"/>
        <v>1</v>
      </c>
      <c r="D284">
        <v>10</v>
      </c>
      <c r="E284" t="str">
        <f>"123"</f>
        <v>123</v>
      </c>
      <c r="F284" t="str">
        <f t="shared" si="28"/>
        <v>0000</v>
      </c>
    </row>
    <row r="285" spans="1:6">
      <c r="A285" t="str">
        <f>"T397-1"</f>
        <v>T397-1</v>
      </c>
      <c r="B285" t="str">
        <f>"VIA ANTONIO BURLANDO VICINO AL 48-"</f>
        <v>VIA ANTONIO BURLANDO VICINO AL 48-</v>
      </c>
      <c r="C285" t="str">
        <f t="shared" si="29"/>
        <v>1</v>
      </c>
      <c r="D285">
        <v>19</v>
      </c>
      <c r="E285" t="str">
        <f>"166"</f>
        <v>166</v>
      </c>
      <c r="F285" t="str">
        <f t="shared" si="28"/>
        <v>0000</v>
      </c>
    </row>
    <row r="286" spans="1:6">
      <c r="A286" t="str">
        <f>"T407-1"</f>
        <v>T407-1</v>
      </c>
      <c r="B286" t="str">
        <f t="shared" ref="B286:B299" si="30">"PIAZZALE G B RESASCO VICINO AL 41-"</f>
        <v>PIAZZALE G B RESASCO VICINO AL 41-</v>
      </c>
      <c r="C286" t="str">
        <f t="shared" si="29"/>
        <v>1</v>
      </c>
      <c r="D286">
        <v>8</v>
      </c>
      <c r="E286" t="str">
        <f>"6"</f>
        <v>6</v>
      </c>
      <c r="F286" t="str">
        <f t="shared" si="28"/>
        <v>0000</v>
      </c>
    </row>
    <row r="287" spans="1:6">
      <c r="A287" t="str">
        <f>"T407-4"</f>
        <v>T407-4</v>
      </c>
      <c r="B287" t="str">
        <f t="shared" si="30"/>
        <v>PIAZZALE G B RESASCO VICINO AL 41-</v>
      </c>
      <c r="C287" t="str">
        <f t="shared" si="29"/>
        <v>1</v>
      </c>
      <c r="D287">
        <v>8</v>
      </c>
      <c r="E287" t="str">
        <f>"10"</f>
        <v>10</v>
      </c>
      <c r="F287" t="str">
        <f t="shared" si="28"/>
        <v>0000</v>
      </c>
    </row>
    <row r="288" spans="1:6">
      <c r="A288" t="str">
        <f>"T407-5"</f>
        <v>T407-5</v>
      </c>
      <c r="B288" t="str">
        <f t="shared" si="30"/>
        <v>PIAZZALE G B RESASCO VICINO AL 41-</v>
      </c>
      <c r="C288" t="str">
        <f t="shared" si="29"/>
        <v>1</v>
      </c>
      <c r="D288">
        <v>8</v>
      </c>
      <c r="E288" t="str">
        <f>"224"</f>
        <v>224</v>
      </c>
      <c r="F288" t="str">
        <f t="shared" si="28"/>
        <v>0000</v>
      </c>
    </row>
    <row r="289" spans="1:6">
      <c r="A289" t="str">
        <f>"T407-6"</f>
        <v>T407-6</v>
      </c>
      <c r="B289" t="str">
        <f t="shared" si="30"/>
        <v>PIAZZALE G B RESASCO VICINO AL 41-</v>
      </c>
      <c r="C289" t="str">
        <f t="shared" si="29"/>
        <v>1</v>
      </c>
      <c r="D289">
        <v>8</v>
      </c>
      <c r="E289" t="str">
        <f>"16"</f>
        <v>16</v>
      </c>
      <c r="F289" t="str">
        <f t="shared" si="28"/>
        <v>0000</v>
      </c>
    </row>
    <row r="290" spans="1:6">
      <c r="A290" t="str">
        <f>"T407-11"</f>
        <v>T407-11</v>
      </c>
      <c r="B290" t="str">
        <f t="shared" si="30"/>
        <v>PIAZZALE G B RESASCO VICINO AL 41-</v>
      </c>
      <c r="C290" t="str">
        <f t="shared" si="29"/>
        <v>1</v>
      </c>
      <c r="D290">
        <v>8</v>
      </c>
      <c r="E290" t="str">
        <f>"39"</f>
        <v>39</v>
      </c>
      <c r="F290" t="str">
        <f t="shared" si="28"/>
        <v>0000</v>
      </c>
    </row>
    <row r="291" spans="1:6">
      <c r="A291" t="str">
        <f>"T407-43"</f>
        <v>T407-43</v>
      </c>
      <c r="B291" t="str">
        <f t="shared" si="30"/>
        <v>PIAZZALE G B RESASCO VICINO AL 41-</v>
      </c>
      <c r="C291" t="str">
        <f t="shared" si="29"/>
        <v>1</v>
      </c>
      <c r="D291">
        <v>8</v>
      </c>
      <c r="E291" t="str">
        <f>"A"</f>
        <v>A</v>
      </c>
      <c r="F291" t="str">
        <f t="shared" si="28"/>
        <v>0000</v>
      </c>
    </row>
    <row r="292" spans="1:6">
      <c r="A292" t="str">
        <f>"T407-51"</f>
        <v>T407-51</v>
      </c>
      <c r="B292" t="str">
        <f t="shared" si="30"/>
        <v>PIAZZALE G B RESASCO VICINO AL 41-</v>
      </c>
      <c r="C292" t="str">
        <f t="shared" si="29"/>
        <v>1</v>
      </c>
      <c r="D292">
        <v>8</v>
      </c>
      <c r="E292" t="str">
        <f>"568"</f>
        <v>568</v>
      </c>
      <c r="F292" t="str">
        <f t="shared" si="28"/>
        <v>0000</v>
      </c>
    </row>
    <row r="293" spans="1:6">
      <c r="A293" t="str">
        <f>"T407-52"</f>
        <v>T407-52</v>
      </c>
      <c r="B293" t="str">
        <f t="shared" si="30"/>
        <v>PIAZZALE G B RESASCO VICINO AL 41-</v>
      </c>
      <c r="C293" t="str">
        <f t="shared" si="29"/>
        <v>1</v>
      </c>
      <c r="D293">
        <v>8</v>
      </c>
      <c r="E293" t="str">
        <f>"569"</f>
        <v>569</v>
      </c>
      <c r="F293" t="str">
        <f t="shared" si="28"/>
        <v>0000</v>
      </c>
    </row>
    <row r="294" spans="1:6">
      <c r="A294" t="str">
        <f>"T407-53"</f>
        <v>T407-53</v>
      </c>
      <c r="B294" t="str">
        <f t="shared" si="30"/>
        <v>PIAZZALE G B RESASCO VICINO AL 41-</v>
      </c>
      <c r="C294" t="str">
        <f t="shared" si="29"/>
        <v>1</v>
      </c>
      <c r="D294">
        <v>8</v>
      </c>
      <c r="E294" t="str">
        <f>"11"</f>
        <v>11</v>
      </c>
      <c r="F294" t="str">
        <f t="shared" si="28"/>
        <v>0000</v>
      </c>
    </row>
    <row r="295" spans="1:6">
      <c r="A295" t="str">
        <f>"T407-54"</f>
        <v>T407-54</v>
      </c>
      <c r="B295" t="str">
        <f t="shared" si="30"/>
        <v>PIAZZALE G B RESASCO VICINO AL 41-</v>
      </c>
      <c r="C295" t="str">
        <f t="shared" si="29"/>
        <v>1</v>
      </c>
      <c r="D295">
        <v>8</v>
      </c>
      <c r="E295" t="str">
        <f>"510"</f>
        <v>510</v>
      </c>
      <c r="F295" t="str">
        <f t="shared" si="28"/>
        <v>0000</v>
      </c>
    </row>
    <row r="296" spans="1:6">
      <c r="A296" t="str">
        <f>"T407-55"</f>
        <v>T407-55</v>
      </c>
      <c r="B296" t="str">
        <f t="shared" si="30"/>
        <v>PIAZZALE G B RESASCO VICINO AL 41-</v>
      </c>
      <c r="C296" t="str">
        <f t="shared" si="29"/>
        <v>1</v>
      </c>
      <c r="D296">
        <v>8</v>
      </c>
      <c r="E296" t="str">
        <f>"511"</f>
        <v>511</v>
      </c>
      <c r="F296" t="str">
        <f t="shared" si="28"/>
        <v>0000</v>
      </c>
    </row>
    <row r="297" spans="1:6">
      <c r="A297" t="str">
        <f>"T407-56"</f>
        <v>T407-56</v>
      </c>
      <c r="B297" t="str">
        <f t="shared" si="30"/>
        <v>PIAZZALE G B RESASCO VICINO AL 41-</v>
      </c>
      <c r="C297" t="str">
        <f t="shared" si="29"/>
        <v>1</v>
      </c>
      <c r="D297">
        <v>8</v>
      </c>
      <c r="E297" t="str">
        <f>"467"</f>
        <v>467</v>
      </c>
      <c r="F297" t="str">
        <f t="shared" si="28"/>
        <v>0000</v>
      </c>
    </row>
    <row r="298" spans="1:6">
      <c r="A298" t="str">
        <f>"T407-57"</f>
        <v>T407-57</v>
      </c>
      <c r="B298" t="str">
        <f t="shared" si="30"/>
        <v>PIAZZALE G B RESASCO VICINO AL 41-</v>
      </c>
      <c r="C298" t="str">
        <f t="shared" si="29"/>
        <v>1</v>
      </c>
      <c r="D298">
        <v>8</v>
      </c>
      <c r="E298" t="str">
        <f>"99999"</f>
        <v>99999</v>
      </c>
      <c r="F298" t="str">
        <f t="shared" si="28"/>
        <v>0000</v>
      </c>
    </row>
    <row r="299" spans="1:6">
      <c r="A299" t="str">
        <f>"T407-58"</f>
        <v>T407-58</v>
      </c>
      <c r="B299" t="str">
        <f t="shared" si="30"/>
        <v>PIAZZALE G B RESASCO VICINO AL 41-</v>
      </c>
      <c r="C299" t="str">
        <f t="shared" si="29"/>
        <v>1</v>
      </c>
      <c r="D299">
        <v>8</v>
      </c>
      <c r="E299" t="str">
        <f>"99999"</f>
        <v>99999</v>
      </c>
      <c r="F299" t="str">
        <f t="shared" si="28"/>
        <v>0000</v>
      </c>
    </row>
    <row r="300" spans="1:6">
      <c r="A300" t="str">
        <f>"T430-1"</f>
        <v>T430-1</v>
      </c>
      <c r="B300" t="str">
        <f>"VIA BOBBIO VICINO AL 4-"</f>
        <v>VIA BOBBIO VICINO AL 4-</v>
      </c>
      <c r="C300" t="str">
        <f t="shared" si="29"/>
        <v>1</v>
      </c>
      <c r="D300">
        <v>38</v>
      </c>
      <c r="E300" t="str">
        <f>"325"</f>
        <v>325</v>
      </c>
      <c r="F300" t="str">
        <f t="shared" si="28"/>
        <v>0000</v>
      </c>
    </row>
    <row r="301" spans="1:6">
      <c r="A301" t="str">
        <f>"T430-2"</f>
        <v>T430-2</v>
      </c>
      <c r="B301" t="str">
        <f>"VIA BOBBIO VICINO AL 4-"</f>
        <v>VIA BOBBIO VICINO AL 4-</v>
      </c>
      <c r="C301" t="str">
        <f t="shared" si="29"/>
        <v>1</v>
      </c>
      <c r="D301">
        <v>38</v>
      </c>
      <c r="E301" t="str">
        <f>"334"</f>
        <v>334</v>
      </c>
      <c r="F301" t="str">
        <f t="shared" si="28"/>
        <v>0000</v>
      </c>
    </row>
    <row r="302" spans="1:6">
      <c r="A302" t="str">
        <f>"T431-1"</f>
        <v>T431-1</v>
      </c>
      <c r="B302" t="str">
        <f>"VIA DELLE GAVETTE VICINO AL 6-"</f>
        <v>VIA DELLE GAVETTE VICINO AL 6-</v>
      </c>
      <c r="C302" t="str">
        <f t="shared" si="29"/>
        <v>1</v>
      </c>
      <c r="D302">
        <v>9</v>
      </c>
      <c r="E302" t="str">
        <f>"206"</f>
        <v>206</v>
      </c>
      <c r="F302" t="str">
        <f t="shared" si="28"/>
        <v>0000</v>
      </c>
    </row>
    <row r="303" spans="1:6">
      <c r="A303" t="str">
        <f>"T431-2"</f>
        <v>T431-2</v>
      </c>
      <c r="B303" t="str">
        <f>"VIA DELLE GAVETTE VICINO AL 6-"</f>
        <v>VIA DELLE GAVETTE VICINO AL 6-</v>
      </c>
      <c r="C303" t="str">
        <f t="shared" si="29"/>
        <v>1</v>
      </c>
      <c r="D303">
        <v>9</v>
      </c>
      <c r="E303" t="str">
        <f>"253"</f>
        <v>253</v>
      </c>
      <c r="F303" t="str">
        <f t="shared" si="28"/>
        <v>0000</v>
      </c>
    </row>
    <row r="304" spans="1:6">
      <c r="A304" t="str">
        <f>"T433-1"</f>
        <v>T433-1</v>
      </c>
      <c r="B304" t="str">
        <f>"VIA DELLE GAVETTE VICINO AL 57-"</f>
        <v>VIA DELLE GAVETTE VICINO AL 57-</v>
      </c>
      <c r="C304" t="str">
        <f t="shared" si="29"/>
        <v>1</v>
      </c>
      <c r="D304">
        <v>9</v>
      </c>
      <c r="E304" t="str">
        <f>"82"</f>
        <v>82</v>
      </c>
      <c r="F304" t="str">
        <f t="shared" si="28"/>
        <v>0000</v>
      </c>
    </row>
    <row r="305" spans="1:6">
      <c r="A305" t="str">
        <f>"T433-2"</f>
        <v>T433-2</v>
      </c>
      <c r="B305" t="str">
        <f>"VIA DELLE GAVETTE VICINO AL 57-"</f>
        <v>VIA DELLE GAVETTE VICINO AL 57-</v>
      </c>
      <c r="C305" t="str">
        <f t="shared" si="29"/>
        <v>1</v>
      </c>
      <c r="D305">
        <v>9</v>
      </c>
      <c r="E305" t="str">
        <f>"83"</f>
        <v>83</v>
      </c>
      <c r="F305" t="str">
        <f t="shared" ref="F305:F336" si="31">"0000"</f>
        <v>0000</v>
      </c>
    </row>
    <row r="306" spans="1:6">
      <c r="A306" t="str">
        <f>"T435-1"</f>
        <v>T435-1</v>
      </c>
      <c r="B306" t="str">
        <f>"VIA CARSO VICINO AL 111-"</f>
        <v>VIA CARSO VICINO AL 111-</v>
      </c>
      <c r="C306" t="str">
        <f t="shared" si="29"/>
        <v>1</v>
      </c>
      <c r="D306">
        <v>18</v>
      </c>
      <c r="E306" t="str">
        <f>"384"</f>
        <v>384</v>
      </c>
      <c r="F306" t="str">
        <f t="shared" si="31"/>
        <v>0000</v>
      </c>
    </row>
    <row r="307" spans="1:6">
      <c r="A307" t="str">
        <f>"T436-1"</f>
        <v>T436-1</v>
      </c>
      <c r="B307" t="str">
        <f>"VIA CARSO VICINO AL 31-"</f>
        <v>VIA CARSO VICINO AL 31-</v>
      </c>
      <c r="C307" t="str">
        <f t="shared" si="29"/>
        <v>1</v>
      </c>
      <c r="D307">
        <v>18</v>
      </c>
      <c r="E307" t="str">
        <f>"291"</f>
        <v>291</v>
      </c>
      <c r="F307" t="str">
        <f t="shared" si="31"/>
        <v>0000</v>
      </c>
    </row>
    <row r="308" spans="1:6">
      <c r="A308" t="str">
        <f>"T436-3"</f>
        <v>T436-3</v>
      </c>
      <c r="B308" t="str">
        <f>"VIA CARSO VICINO AL 31-"</f>
        <v>VIA CARSO VICINO AL 31-</v>
      </c>
      <c r="C308" t="str">
        <f t="shared" ref="C308:C339" si="32">"1"</f>
        <v>1</v>
      </c>
      <c r="D308">
        <v>18</v>
      </c>
      <c r="E308" t="str">
        <f>"292"</f>
        <v>292</v>
      </c>
      <c r="F308" t="str">
        <f t="shared" si="31"/>
        <v>0000</v>
      </c>
    </row>
    <row r="309" spans="1:6">
      <c r="A309" t="str">
        <f>"T436-4"</f>
        <v>T436-4</v>
      </c>
      <c r="B309" t="str">
        <f>"VIA CARSO VICINO AL 31-"</f>
        <v>VIA CARSO VICINO AL 31-</v>
      </c>
      <c r="C309" t="str">
        <f t="shared" si="32"/>
        <v>1</v>
      </c>
      <c r="D309">
        <v>18</v>
      </c>
      <c r="E309" t="str">
        <f>"302"</f>
        <v>302</v>
      </c>
      <c r="F309" t="str">
        <f t="shared" si="31"/>
        <v>0000</v>
      </c>
    </row>
    <row r="310" spans="1:6">
      <c r="A310" t="str">
        <f>"T437-1"</f>
        <v>T437-1</v>
      </c>
      <c r="B310" t="str">
        <f>"VIA CARSO VICINO AL 81-"</f>
        <v>VIA CARSO VICINO AL 81-</v>
      </c>
      <c r="C310" t="str">
        <f t="shared" si="32"/>
        <v>1</v>
      </c>
      <c r="D310">
        <v>18</v>
      </c>
      <c r="E310" t="str">
        <f>"269"</f>
        <v>269</v>
      </c>
      <c r="F310" t="str">
        <f t="shared" si="31"/>
        <v>0000</v>
      </c>
    </row>
    <row r="311" spans="1:6">
      <c r="A311" t="str">
        <f>"T438-1"</f>
        <v>T438-1</v>
      </c>
      <c r="B311" t="str">
        <f>"VIA CADERIVA VICINO AL 48A-"</f>
        <v>VIA CADERIVA VICINO AL 48A-</v>
      </c>
      <c r="C311" t="str">
        <f t="shared" si="32"/>
        <v>1</v>
      </c>
      <c r="D311">
        <v>19</v>
      </c>
      <c r="E311" t="str">
        <f>"43"</f>
        <v>43</v>
      </c>
      <c r="F311" t="str">
        <f t="shared" si="31"/>
        <v>0000</v>
      </c>
    </row>
    <row r="312" spans="1:6">
      <c r="A312" t="str">
        <f>"T439-1"</f>
        <v>T439-1</v>
      </c>
      <c r="B312" t="str">
        <f t="shared" ref="B312:B317" si="33">"VIA ANTONIO BURLANDO VICINO AL 25D-"</f>
        <v>VIA ANTONIO BURLANDO VICINO AL 25D-</v>
      </c>
      <c r="C312" t="str">
        <f t="shared" si="32"/>
        <v>1</v>
      </c>
      <c r="D312">
        <v>19</v>
      </c>
      <c r="E312" t="str">
        <f>"168"</f>
        <v>168</v>
      </c>
      <c r="F312" t="str">
        <f t="shared" si="31"/>
        <v>0000</v>
      </c>
    </row>
    <row r="313" spans="1:6">
      <c r="A313" t="str">
        <f>"T439-2"</f>
        <v>T439-2</v>
      </c>
      <c r="B313" t="str">
        <f t="shared" si="33"/>
        <v>VIA ANTONIO BURLANDO VICINO AL 25D-</v>
      </c>
      <c r="C313" t="str">
        <f t="shared" si="32"/>
        <v>1</v>
      </c>
      <c r="D313">
        <v>19</v>
      </c>
      <c r="E313" t="str">
        <f>"141"</f>
        <v>141</v>
      </c>
      <c r="F313" t="str">
        <f t="shared" si="31"/>
        <v>0000</v>
      </c>
    </row>
    <row r="314" spans="1:6">
      <c r="A314" t="str">
        <f>"T439-3"</f>
        <v>T439-3</v>
      </c>
      <c r="B314" t="str">
        <f t="shared" si="33"/>
        <v>VIA ANTONIO BURLANDO VICINO AL 25D-</v>
      </c>
      <c r="C314" t="str">
        <f t="shared" si="32"/>
        <v>1</v>
      </c>
      <c r="D314">
        <v>19</v>
      </c>
      <c r="E314" t="str">
        <f>"124"</f>
        <v>124</v>
      </c>
      <c r="F314" t="str">
        <f t="shared" si="31"/>
        <v>0000</v>
      </c>
    </row>
    <row r="315" spans="1:6">
      <c r="A315" t="str">
        <f>"T439-4"</f>
        <v>T439-4</v>
      </c>
      <c r="B315" t="str">
        <f t="shared" si="33"/>
        <v>VIA ANTONIO BURLANDO VICINO AL 25D-</v>
      </c>
      <c r="C315" t="str">
        <f t="shared" si="32"/>
        <v>1</v>
      </c>
      <c r="D315">
        <v>19</v>
      </c>
      <c r="E315" t="str">
        <f>"89"</f>
        <v>89</v>
      </c>
      <c r="F315" t="str">
        <f t="shared" si="31"/>
        <v>0000</v>
      </c>
    </row>
    <row r="316" spans="1:6">
      <c r="A316" t="str">
        <f>"T439-5"</f>
        <v>T439-5</v>
      </c>
      <c r="B316" t="str">
        <f t="shared" si="33"/>
        <v>VIA ANTONIO BURLANDO VICINO AL 25D-</v>
      </c>
      <c r="C316" t="str">
        <f t="shared" si="32"/>
        <v>1</v>
      </c>
      <c r="D316">
        <v>19</v>
      </c>
      <c r="E316" t="str">
        <f>"108"</f>
        <v>108</v>
      </c>
      <c r="F316" t="str">
        <f t="shared" si="31"/>
        <v>0000</v>
      </c>
    </row>
    <row r="317" spans="1:6">
      <c r="A317" t="str">
        <f>"T439-6"</f>
        <v>T439-6</v>
      </c>
      <c r="B317" t="str">
        <f t="shared" si="33"/>
        <v>VIA ANTONIO BURLANDO VICINO AL 25D-</v>
      </c>
      <c r="C317" t="str">
        <f t="shared" si="32"/>
        <v>1</v>
      </c>
      <c r="D317">
        <v>19</v>
      </c>
      <c r="E317" t="str">
        <f>"174"</f>
        <v>174</v>
      </c>
      <c r="F317" t="str">
        <f t="shared" si="31"/>
        <v>0000</v>
      </c>
    </row>
    <row r="318" spans="1:6">
      <c r="A318" t="str">
        <f>"T440-1"</f>
        <v>T440-1</v>
      </c>
      <c r="B318" t="str">
        <f>"VIA ANTONIO BURLANDO  25-"</f>
        <v>VIA ANTONIO BURLANDO  25-</v>
      </c>
      <c r="C318" t="str">
        <f t="shared" si="32"/>
        <v>1</v>
      </c>
      <c r="D318">
        <v>19</v>
      </c>
      <c r="E318" t="str">
        <f>"183"</f>
        <v>183</v>
      </c>
      <c r="F318" t="str">
        <f t="shared" si="31"/>
        <v>0000</v>
      </c>
    </row>
    <row r="319" spans="1:6">
      <c r="A319" t="str">
        <f>"T440-2"</f>
        <v>T440-2</v>
      </c>
      <c r="B319" t="str">
        <f>"VIA ANTONIO BURLANDO  25-"</f>
        <v>VIA ANTONIO BURLANDO  25-</v>
      </c>
      <c r="C319" t="str">
        <f t="shared" si="32"/>
        <v>1</v>
      </c>
      <c r="D319">
        <v>19</v>
      </c>
      <c r="E319" t="str">
        <f>"184"</f>
        <v>184</v>
      </c>
      <c r="F319" t="str">
        <f t="shared" si="31"/>
        <v>0000</v>
      </c>
    </row>
    <row r="320" spans="1:6">
      <c r="A320" t="str">
        <f>"T441-1"</f>
        <v>T441-1</v>
      </c>
      <c r="B320" t="str">
        <f>"VIA DI SAN PANTALEO VICINO AL 12-"</f>
        <v>VIA DI SAN PANTALEO VICINO AL 12-</v>
      </c>
      <c r="C320" t="str">
        <f t="shared" si="32"/>
        <v>1</v>
      </c>
      <c r="D320">
        <v>18</v>
      </c>
      <c r="E320" t="str">
        <f>"279"</f>
        <v>279</v>
      </c>
      <c r="F320" t="str">
        <f t="shared" si="31"/>
        <v>0000</v>
      </c>
    </row>
    <row r="321" spans="1:6">
      <c r="A321" t="str">
        <f>"T441-2"</f>
        <v>T441-2</v>
      </c>
      <c r="B321" t="str">
        <f>"VIA DI SAN PANTALEO VICINO AL 12-"</f>
        <v>VIA DI SAN PANTALEO VICINO AL 12-</v>
      </c>
      <c r="C321" t="str">
        <f t="shared" si="32"/>
        <v>1</v>
      </c>
      <c r="D321">
        <v>19</v>
      </c>
      <c r="E321" t="str">
        <f>"278"</f>
        <v>278</v>
      </c>
      <c r="F321" t="str">
        <f t="shared" si="31"/>
        <v>0000</v>
      </c>
    </row>
    <row r="322" spans="1:6">
      <c r="A322" t="str">
        <f>"T442-1"</f>
        <v>T442-1</v>
      </c>
      <c r="B322" t="str">
        <f>"VIA ANTONIO BURLANDO VICINO AL 40-"</f>
        <v>VIA ANTONIO BURLANDO VICINO AL 40-</v>
      </c>
      <c r="C322" t="str">
        <f t="shared" si="32"/>
        <v>1</v>
      </c>
      <c r="D322">
        <v>19</v>
      </c>
      <c r="E322" t="str">
        <f>"165"</f>
        <v>165</v>
      </c>
      <c r="F322" t="str">
        <f t="shared" si="31"/>
        <v>0000</v>
      </c>
    </row>
    <row r="323" spans="1:6">
      <c r="A323" t="str">
        <f>"T443-1"</f>
        <v>T443-1</v>
      </c>
      <c r="B323" t="str">
        <f>"VIA ANTONIO BURLANDO VICINO AL 26-"</f>
        <v>VIA ANTONIO BURLANDO VICINO AL 26-</v>
      </c>
      <c r="C323" t="str">
        <f t="shared" si="32"/>
        <v>1</v>
      </c>
      <c r="D323">
        <v>19</v>
      </c>
      <c r="E323" t="str">
        <f>"182"</f>
        <v>182</v>
      </c>
      <c r="F323" t="str">
        <f t="shared" si="31"/>
        <v>0000</v>
      </c>
    </row>
    <row r="324" spans="1:6">
      <c r="A324" t="str">
        <f>"T444-1"</f>
        <v>T444-1</v>
      </c>
      <c r="B324" t="str">
        <f>"VIA LEONARDO MONTALDO VICINO AL 20-"</f>
        <v>VIA LEONARDO MONTALDO VICINO AL 20-</v>
      </c>
      <c r="C324" t="str">
        <f t="shared" si="32"/>
        <v>1</v>
      </c>
      <c r="D324">
        <v>38</v>
      </c>
      <c r="E324" t="str">
        <f>"346"</f>
        <v>346</v>
      </c>
      <c r="F324" t="str">
        <f t="shared" si="31"/>
        <v>0000</v>
      </c>
    </row>
    <row r="325" spans="1:6">
      <c r="A325" t="str">
        <f>"T444-2"</f>
        <v>T444-2</v>
      </c>
      <c r="B325" t="str">
        <f>"VIA LEONARDO MONTALDO VICINO AL 20-"</f>
        <v>VIA LEONARDO MONTALDO VICINO AL 20-</v>
      </c>
      <c r="C325" t="str">
        <f t="shared" si="32"/>
        <v>1</v>
      </c>
      <c r="D325">
        <v>38</v>
      </c>
      <c r="E325" t="str">
        <f>"364"</f>
        <v>364</v>
      </c>
      <c r="F325" t="str">
        <f t="shared" si="31"/>
        <v>0000</v>
      </c>
    </row>
    <row r="326" spans="1:6">
      <c r="A326" t="str">
        <f>"T444-3"</f>
        <v>T444-3</v>
      </c>
      <c r="B326" t="str">
        <f>"VIA LEONARDO MONTALDO VICINO AL 20-"</f>
        <v>VIA LEONARDO MONTALDO VICINO AL 20-</v>
      </c>
      <c r="C326" t="str">
        <f t="shared" si="32"/>
        <v>1</v>
      </c>
      <c r="D326">
        <v>38</v>
      </c>
      <c r="E326" t="str">
        <f>"365"</f>
        <v>365</v>
      </c>
      <c r="F326" t="str">
        <f t="shared" si="31"/>
        <v>0000</v>
      </c>
    </row>
    <row r="327" spans="1:6">
      <c r="A327" t="str">
        <f>"T446-1"</f>
        <v>T446-1</v>
      </c>
      <c r="B327" t="str">
        <f>"VIA DELLE GINESTRE VICINO AL 51-"</f>
        <v>VIA DELLE GINESTRE VICINO AL 51-</v>
      </c>
      <c r="C327" t="str">
        <f t="shared" si="32"/>
        <v>1</v>
      </c>
      <c r="D327">
        <v>19</v>
      </c>
      <c r="E327" t="str">
        <f>"542"</f>
        <v>542</v>
      </c>
      <c r="F327" t="str">
        <f t="shared" si="31"/>
        <v>0000</v>
      </c>
    </row>
    <row r="328" spans="1:6">
      <c r="A328" t="str">
        <f>"T447-1"</f>
        <v>T447-1</v>
      </c>
      <c r="B328" t="str">
        <f>"VIA NICOLO COSTA VICINO AL 18-"</f>
        <v>VIA NICOLO COSTA VICINO AL 18-</v>
      </c>
      <c r="C328" t="str">
        <f t="shared" si="32"/>
        <v>1</v>
      </c>
      <c r="D328">
        <v>20</v>
      </c>
      <c r="E328" t="str">
        <f>"391"</f>
        <v>391</v>
      </c>
      <c r="F328" t="str">
        <f t="shared" si="31"/>
        <v>0000</v>
      </c>
    </row>
    <row r="329" spans="1:6">
      <c r="A329" t="str">
        <f>"T447-2"</f>
        <v>T447-2</v>
      </c>
      <c r="B329" t="str">
        <f>"VIA NICOLO COSTA VICINO AL 18-"</f>
        <v>VIA NICOLO COSTA VICINO AL 18-</v>
      </c>
      <c r="C329" t="str">
        <f t="shared" si="32"/>
        <v>1</v>
      </c>
      <c r="D329">
        <v>20</v>
      </c>
      <c r="E329" t="str">
        <f>"481"</f>
        <v>481</v>
      </c>
      <c r="F329" t="str">
        <f t="shared" si="31"/>
        <v>0000</v>
      </c>
    </row>
    <row r="330" spans="1:6">
      <c r="A330" t="str">
        <f>"T448-1"</f>
        <v>T448-1</v>
      </c>
      <c r="B330" t="str">
        <f t="shared" ref="B330:B335" si="34">"VIA NICOLO COSTA VICINO AL 2-"</f>
        <v>VIA NICOLO COSTA VICINO AL 2-</v>
      </c>
      <c r="C330" t="str">
        <f t="shared" si="32"/>
        <v>1</v>
      </c>
      <c r="D330">
        <v>20</v>
      </c>
      <c r="E330" t="str">
        <f>"738"</f>
        <v>738</v>
      </c>
      <c r="F330" t="str">
        <f t="shared" si="31"/>
        <v>0000</v>
      </c>
    </row>
    <row r="331" spans="1:6">
      <c r="A331" t="str">
        <f>"T448-2"</f>
        <v>T448-2</v>
      </c>
      <c r="B331" t="str">
        <f t="shared" si="34"/>
        <v>VIA NICOLO COSTA VICINO AL 2-</v>
      </c>
      <c r="C331" t="str">
        <f t="shared" si="32"/>
        <v>1</v>
      </c>
      <c r="D331">
        <v>20</v>
      </c>
      <c r="E331" t="str">
        <f>"739"</f>
        <v>739</v>
      </c>
      <c r="F331" t="str">
        <f t="shared" si="31"/>
        <v>0000</v>
      </c>
    </row>
    <row r="332" spans="1:6">
      <c r="A332" t="str">
        <f>"T448-3"</f>
        <v>T448-3</v>
      </c>
      <c r="B332" t="str">
        <f t="shared" si="34"/>
        <v>VIA NICOLO COSTA VICINO AL 2-</v>
      </c>
      <c r="C332" t="str">
        <f t="shared" si="32"/>
        <v>1</v>
      </c>
      <c r="D332">
        <v>20</v>
      </c>
      <c r="E332" t="str">
        <f>"740"</f>
        <v>740</v>
      </c>
      <c r="F332" t="str">
        <f t="shared" si="31"/>
        <v>0000</v>
      </c>
    </row>
    <row r="333" spans="1:6">
      <c r="A333" t="str">
        <f>"T448-4"</f>
        <v>T448-4</v>
      </c>
      <c r="B333" t="str">
        <f t="shared" si="34"/>
        <v>VIA NICOLO COSTA VICINO AL 2-</v>
      </c>
      <c r="C333" t="str">
        <f t="shared" si="32"/>
        <v>1</v>
      </c>
      <c r="D333">
        <v>20</v>
      </c>
      <c r="E333" t="str">
        <f>"741"</f>
        <v>741</v>
      </c>
      <c r="F333" t="str">
        <f t="shared" si="31"/>
        <v>0000</v>
      </c>
    </row>
    <row r="334" spans="1:6">
      <c r="A334" t="str">
        <f>"T448-5"</f>
        <v>T448-5</v>
      </c>
      <c r="B334" t="str">
        <f t="shared" si="34"/>
        <v>VIA NICOLO COSTA VICINO AL 2-</v>
      </c>
      <c r="C334" t="str">
        <f t="shared" si="32"/>
        <v>1</v>
      </c>
      <c r="D334">
        <v>20</v>
      </c>
      <c r="E334" t="str">
        <f>"240"</f>
        <v>240</v>
      </c>
      <c r="F334" t="str">
        <f t="shared" si="31"/>
        <v>0000</v>
      </c>
    </row>
    <row r="335" spans="1:6">
      <c r="A335" t="str">
        <f>"T448-6"</f>
        <v>T448-6</v>
      </c>
      <c r="B335" t="str">
        <f t="shared" si="34"/>
        <v>VIA NICOLO COSTA VICINO AL 2-</v>
      </c>
      <c r="C335" t="str">
        <f t="shared" si="32"/>
        <v>1</v>
      </c>
      <c r="D335">
        <v>20</v>
      </c>
      <c r="E335" t="str">
        <f>"241"</f>
        <v>241</v>
      </c>
      <c r="F335" t="str">
        <f t="shared" si="31"/>
        <v>0000</v>
      </c>
    </row>
    <row r="336" spans="1:6">
      <c r="A336" t="str">
        <f>"T449-1"</f>
        <v>T449-1</v>
      </c>
      <c r="B336" t="str">
        <f>"VIA DELLE GINESTRE VICINO AL 31-"</f>
        <v>VIA DELLE GINESTRE VICINO AL 31-</v>
      </c>
      <c r="C336" t="str">
        <f t="shared" si="32"/>
        <v>1</v>
      </c>
      <c r="D336">
        <v>19</v>
      </c>
      <c r="E336" t="str">
        <f>"41"</f>
        <v>41</v>
      </c>
      <c r="F336" t="str">
        <f t="shared" si="31"/>
        <v>0000</v>
      </c>
    </row>
    <row r="337" spans="1:6">
      <c r="A337" t="str">
        <f>"T449-2"</f>
        <v>T449-2</v>
      </c>
      <c r="B337" t="str">
        <f>"VIA DELLE GINESTRE VICINO AL 31-"</f>
        <v>VIA DELLE GINESTRE VICINO AL 31-</v>
      </c>
      <c r="C337" t="str">
        <f t="shared" si="32"/>
        <v>1</v>
      </c>
      <c r="D337">
        <v>19</v>
      </c>
      <c r="E337" t="str">
        <f>"481"</f>
        <v>481</v>
      </c>
      <c r="F337" t="str">
        <f t="shared" ref="F337:F359" si="35">"0000"</f>
        <v>0000</v>
      </c>
    </row>
    <row r="338" spans="1:6">
      <c r="A338" t="str">
        <f>"T450-1"</f>
        <v>T450-1</v>
      </c>
      <c r="B338" t="str">
        <f t="shared" ref="B338:B348" si="36">"VIA MONTE NERO VICINO AL 27-"</f>
        <v>VIA MONTE NERO VICINO AL 27-</v>
      </c>
      <c r="C338" t="str">
        <f t="shared" si="32"/>
        <v>1</v>
      </c>
      <c r="D338">
        <v>20</v>
      </c>
      <c r="E338" t="str">
        <f>"337"</f>
        <v>337</v>
      </c>
      <c r="F338" t="str">
        <f t="shared" si="35"/>
        <v>0000</v>
      </c>
    </row>
    <row r="339" spans="1:6">
      <c r="A339" t="str">
        <f>"T450-2"</f>
        <v>T450-2</v>
      </c>
      <c r="B339" t="str">
        <f t="shared" si="36"/>
        <v>VIA MONTE NERO VICINO AL 27-</v>
      </c>
      <c r="C339" t="str">
        <f t="shared" si="32"/>
        <v>1</v>
      </c>
      <c r="D339">
        <v>20</v>
      </c>
      <c r="E339" t="str">
        <f>"576"</f>
        <v>576</v>
      </c>
      <c r="F339" t="str">
        <f t="shared" si="35"/>
        <v>0000</v>
      </c>
    </row>
    <row r="340" spans="1:6">
      <c r="A340" t="str">
        <f>"T450-3"</f>
        <v>T450-3</v>
      </c>
      <c r="B340" t="str">
        <f t="shared" si="36"/>
        <v>VIA MONTE NERO VICINO AL 27-</v>
      </c>
      <c r="C340" t="str">
        <f t="shared" ref="C340:C359" si="37">"1"</f>
        <v>1</v>
      </c>
      <c r="D340">
        <v>20</v>
      </c>
      <c r="E340" t="str">
        <f>"76"</f>
        <v>76</v>
      </c>
      <c r="F340" t="str">
        <f t="shared" si="35"/>
        <v>0000</v>
      </c>
    </row>
    <row r="341" spans="1:6">
      <c r="A341" t="str">
        <f>"T450-4"</f>
        <v>T450-4</v>
      </c>
      <c r="B341" t="str">
        <f t="shared" si="36"/>
        <v>VIA MONTE NERO VICINO AL 27-</v>
      </c>
      <c r="C341" t="str">
        <f t="shared" si="37"/>
        <v>1</v>
      </c>
      <c r="D341">
        <v>20</v>
      </c>
      <c r="E341" t="str">
        <f>"456"</f>
        <v>456</v>
      </c>
      <c r="F341" t="str">
        <f t="shared" si="35"/>
        <v>0000</v>
      </c>
    </row>
    <row r="342" spans="1:6">
      <c r="A342" t="str">
        <f>"T451-1"</f>
        <v>T451-1</v>
      </c>
      <c r="B342" t="str">
        <f t="shared" si="36"/>
        <v>VIA MONTE NERO VICINO AL 27-</v>
      </c>
      <c r="C342" t="str">
        <f t="shared" si="37"/>
        <v>1</v>
      </c>
      <c r="D342">
        <v>20</v>
      </c>
      <c r="E342" t="str">
        <f>"76"</f>
        <v>76</v>
      </c>
      <c r="F342" t="str">
        <f t="shared" si="35"/>
        <v>0000</v>
      </c>
    </row>
    <row r="343" spans="1:6">
      <c r="A343" t="str">
        <f>"T451-2"</f>
        <v>T451-2</v>
      </c>
      <c r="B343" t="str">
        <f t="shared" si="36"/>
        <v>VIA MONTE NERO VICINO AL 27-</v>
      </c>
      <c r="C343" t="str">
        <f t="shared" si="37"/>
        <v>1</v>
      </c>
      <c r="D343">
        <v>20</v>
      </c>
      <c r="E343" t="str">
        <f>"337"</f>
        <v>337</v>
      </c>
      <c r="F343" t="str">
        <f t="shared" si="35"/>
        <v>0000</v>
      </c>
    </row>
    <row r="344" spans="1:6">
      <c r="A344" t="str">
        <f>"T451-3"</f>
        <v>T451-3</v>
      </c>
      <c r="B344" t="str">
        <f t="shared" si="36"/>
        <v>VIA MONTE NERO VICINO AL 27-</v>
      </c>
      <c r="C344" t="str">
        <f t="shared" si="37"/>
        <v>1</v>
      </c>
      <c r="D344">
        <v>20</v>
      </c>
      <c r="E344" t="str">
        <f>"412"</f>
        <v>412</v>
      </c>
      <c r="F344" t="str">
        <f t="shared" si="35"/>
        <v>0000</v>
      </c>
    </row>
    <row r="345" spans="1:6">
      <c r="A345" t="str">
        <f>"T451-4"</f>
        <v>T451-4</v>
      </c>
      <c r="B345" t="str">
        <f t="shared" si="36"/>
        <v>VIA MONTE NERO VICINO AL 27-</v>
      </c>
      <c r="C345" t="str">
        <f t="shared" si="37"/>
        <v>1</v>
      </c>
      <c r="D345">
        <v>20</v>
      </c>
      <c r="E345" t="str">
        <f>"456"</f>
        <v>456</v>
      </c>
      <c r="F345" t="str">
        <f t="shared" si="35"/>
        <v>0000</v>
      </c>
    </row>
    <row r="346" spans="1:6">
      <c r="A346" t="str">
        <f>"T451-5"</f>
        <v>T451-5</v>
      </c>
      <c r="B346" t="str">
        <f t="shared" si="36"/>
        <v>VIA MONTE NERO VICINO AL 27-</v>
      </c>
      <c r="C346" t="str">
        <f t="shared" si="37"/>
        <v>1</v>
      </c>
      <c r="D346">
        <v>20</v>
      </c>
      <c r="E346" t="str">
        <f>"576"</f>
        <v>576</v>
      </c>
      <c r="F346" t="str">
        <f t="shared" si="35"/>
        <v>0000</v>
      </c>
    </row>
    <row r="347" spans="1:6">
      <c r="A347" t="str">
        <f>"T451-6"</f>
        <v>T451-6</v>
      </c>
      <c r="B347" t="str">
        <f t="shared" si="36"/>
        <v>VIA MONTE NERO VICINO AL 27-</v>
      </c>
      <c r="C347" t="str">
        <f t="shared" si="37"/>
        <v>1</v>
      </c>
      <c r="D347">
        <v>20</v>
      </c>
      <c r="E347" t="str">
        <f>"586"</f>
        <v>586</v>
      </c>
      <c r="F347" t="str">
        <f t="shared" si="35"/>
        <v>0000</v>
      </c>
    </row>
    <row r="348" spans="1:6">
      <c r="A348" t="str">
        <f>"T451-7"</f>
        <v>T451-7</v>
      </c>
      <c r="B348" t="str">
        <f t="shared" si="36"/>
        <v>VIA MONTE NERO VICINO AL 27-</v>
      </c>
      <c r="C348" t="str">
        <f t="shared" si="37"/>
        <v>1</v>
      </c>
      <c r="D348">
        <v>20</v>
      </c>
      <c r="E348" t="str">
        <f>"733"</f>
        <v>733</v>
      </c>
      <c r="F348" t="str">
        <f t="shared" si="35"/>
        <v>0000</v>
      </c>
    </row>
    <row r="349" spans="1:6">
      <c r="A349" t="str">
        <f>"T452-1"</f>
        <v>T452-1</v>
      </c>
      <c r="B349" t="str">
        <f>"VIA DELLE GINESTRE VICINO AL 31-"</f>
        <v>VIA DELLE GINESTRE VICINO AL 31-</v>
      </c>
      <c r="C349" t="str">
        <f t="shared" si="37"/>
        <v>1</v>
      </c>
      <c r="D349">
        <v>18</v>
      </c>
      <c r="E349" t="str">
        <f>"194"</f>
        <v>194</v>
      </c>
      <c r="F349" t="str">
        <f t="shared" si="35"/>
        <v>0000</v>
      </c>
    </row>
    <row r="350" spans="1:6">
      <c r="A350" t="str">
        <f>"T452-2"</f>
        <v>T452-2</v>
      </c>
      <c r="B350" t="str">
        <f>"VIA DELLE GINESTRE VICINO AL 31-"</f>
        <v>VIA DELLE GINESTRE VICINO AL 31-</v>
      </c>
      <c r="C350" t="str">
        <f t="shared" si="37"/>
        <v>1</v>
      </c>
      <c r="D350">
        <v>18</v>
      </c>
      <c r="E350" t="str">
        <f>"214"</f>
        <v>214</v>
      </c>
      <c r="F350" t="str">
        <f t="shared" si="35"/>
        <v>0000</v>
      </c>
    </row>
    <row r="351" spans="1:6">
      <c r="A351" t="str">
        <f>"T452-3"</f>
        <v>T452-3</v>
      </c>
      <c r="B351" t="str">
        <f>"VIA DELLE GINESTRE VICINO AL 31-"</f>
        <v>VIA DELLE GINESTRE VICINO AL 31-</v>
      </c>
      <c r="C351" t="str">
        <f t="shared" si="37"/>
        <v>1</v>
      </c>
      <c r="D351">
        <v>18</v>
      </c>
      <c r="E351" t="str">
        <f>"230"</f>
        <v>230</v>
      </c>
      <c r="F351" t="str">
        <f t="shared" si="35"/>
        <v>0000</v>
      </c>
    </row>
    <row r="352" spans="1:6">
      <c r="A352" t="str">
        <f>"T452-4"</f>
        <v>T452-4</v>
      </c>
      <c r="B352" t="str">
        <f>"VIA DELLE GINESTRE VICINO AL 31-"</f>
        <v>VIA DELLE GINESTRE VICINO AL 31-</v>
      </c>
      <c r="C352" t="str">
        <f t="shared" si="37"/>
        <v>1</v>
      </c>
      <c r="D352">
        <v>18</v>
      </c>
      <c r="E352" t="str">
        <f>"231"</f>
        <v>231</v>
      </c>
      <c r="F352" t="str">
        <f t="shared" si="35"/>
        <v>0000</v>
      </c>
    </row>
    <row r="353" spans="1:6">
      <c r="A353" t="str">
        <f>"T452-5"</f>
        <v>T452-5</v>
      </c>
      <c r="B353" t="str">
        <f>"VIA DELLE GINESTRE VICINO AL 31-"</f>
        <v>VIA DELLE GINESTRE VICINO AL 31-</v>
      </c>
      <c r="C353" t="str">
        <f t="shared" si="37"/>
        <v>1</v>
      </c>
      <c r="D353">
        <v>18</v>
      </c>
      <c r="E353" t="str">
        <f>"246"</f>
        <v>246</v>
      </c>
      <c r="F353" t="str">
        <f t="shared" si="35"/>
        <v>0000</v>
      </c>
    </row>
    <row r="354" spans="1:6">
      <c r="A354" t="str">
        <f>"T453-1"</f>
        <v>T453-1</v>
      </c>
      <c r="B354" t="str">
        <f t="shared" ref="B354:B359" si="38">"LUNGOBISAGNO ISTRIA VICINO AL 35-"</f>
        <v>LUNGOBISAGNO ISTRIA VICINO AL 35-</v>
      </c>
      <c r="C354" t="str">
        <f t="shared" si="37"/>
        <v>1</v>
      </c>
      <c r="D354">
        <v>10</v>
      </c>
      <c r="E354" t="str">
        <f>"96"</f>
        <v>96</v>
      </c>
      <c r="F354" t="str">
        <f t="shared" si="35"/>
        <v>0000</v>
      </c>
    </row>
    <row r="355" spans="1:6">
      <c r="A355" t="str">
        <f>"T453-3"</f>
        <v>T453-3</v>
      </c>
      <c r="B355" t="str">
        <f t="shared" si="38"/>
        <v>LUNGOBISAGNO ISTRIA VICINO AL 35-</v>
      </c>
      <c r="C355" t="str">
        <f t="shared" si="37"/>
        <v>1</v>
      </c>
      <c r="D355">
        <v>10</v>
      </c>
      <c r="E355" t="str">
        <f>"122"</f>
        <v>122</v>
      </c>
      <c r="F355" t="str">
        <f t="shared" si="35"/>
        <v>0000</v>
      </c>
    </row>
    <row r="356" spans="1:6">
      <c r="A356" t="str">
        <f>"T453-4"</f>
        <v>T453-4</v>
      </c>
      <c r="B356" t="str">
        <f t="shared" si="38"/>
        <v>LUNGOBISAGNO ISTRIA VICINO AL 35-</v>
      </c>
      <c r="C356" t="str">
        <f t="shared" si="37"/>
        <v>1</v>
      </c>
      <c r="D356">
        <v>10</v>
      </c>
      <c r="E356" t="str">
        <f>"377"</f>
        <v>377</v>
      </c>
      <c r="F356" t="str">
        <f t="shared" si="35"/>
        <v>0000</v>
      </c>
    </row>
    <row r="357" spans="1:6">
      <c r="A357" t="str">
        <f>"T453-5"</f>
        <v>T453-5</v>
      </c>
      <c r="B357" t="str">
        <f t="shared" si="38"/>
        <v>LUNGOBISAGNO ISTRIA VICINO AL 35-</v>
      </c>
      <c r="C357" t="str">
        <f t="shared" si="37"/>
        <v>1</v>
      </c>
      <c r="D357">
        <v>10</v>
      </c>
      <c r="E357" t="str">
        <f>"127"</f>
        <v>127</v>
      </c>
      <c r="F357" t="str">
        <f t="shared" si="35"/>
        <v>0000</v>
      </c>
    </row>
    <row r="358" spans="1:6">
      <c r="A358" t="str">
        <f>"T453-6"</f>
        <v>T453-6</v>
      </c>
      <c r="B358" t="str">
        <f t="shared" si="38"/>
        <v>LUNGOBISAGNO ISTRIA VICINO AL 35-</v>
      </c>
      <c r="C358" t="str">
        <f t="shared" si="37"/>
        <v>1</v>
      </c>
      <c r="D358">
        <v>10</v>
      </c>
      <c r="E358" t="str">
        <f>"126"</f>
        <v>126</v>
      </c>
      <c r="F358" t="str">
        <f t="shared" si="35"/>
        <v>0000</v>
      </c>
    </row>
    <row r="359" spans="1:6">
      <c r="A359" t="str">
        <f>"T453-7"</f>
        <v>T453-7</v>
      </c>
      <c r="B359" t="str">
        <f t="shared" si="38"/>
        <v>LUNGOBISAGNO ISTRIA VICINO AL 35-</v>
      </c>
      <c r="C359" t="str">
        <f t="shared" si="37"/>
        <v>1</v>
      </c>
      <c r="D359">
        <v>10</v>
      </c>
      <c r="E359" t="str">
        <f>"142"</f>
        <v>142</v>
      </c>
      <c r="F359" t="str">
        <f t="shared" si="35"/>
        <v>0000</v>
      </c>
    </row>
    <row r="360" spans="1:6">
      <c r="A360" t="str">
        <f>"T455-1"</f>
        <v>T455-1</v>
      </c>
      <c r="B360" t="str">
        <f>"PASSO RIO CANATE VICINO AL 3-"</f>
        <v>PASSO RIO CANATE VICINO AL 3-</v>
      </c>
      <c r="C360" t="str">
        <f t="shared" ref="C360:C370" si="39">"5"</f>
        <v>5</v>
      </c>
      <c r="D360">
        <v>19</v>
      </c>
      <c r="E360" t="str">
        <f>"610"</f>
        <v>610</v>
      </c>
      <c r="F360" t="str">
        <f>"2"</f>
        <v>2</v>
      </c>
    </row>
    <row r="361" spans="1:6">
      <c r="A361" t="str">
        <f>"T457-2"</f>
        <v>T457-2</v>
      </c>
      <c r="B361" t="str">
        <f t="shared" ref="B361:B366" si="40">"SALITA RUINA VICINO AL 5-"</f>
        <v>SALITA RUINA VICINO AL 5-</v>
      </c>
      <c r="C361" t="str">
        <f t="shared" si="39"/>
        <v>5</v>
      </c>
      <c r="D361">
        <v>36</v>
      </c>
      <c r="E361" t="str">
        <f>"139"</f>
        <v>139</v>
      </c>
      <c r="F361" t="str">
        <f t="shared" ref="F361:F424" si="41">"0000"</f>
        <v>0000</v>
      </c>
    </row>
    <row r="362" spans="1:6">
      <c r="A362" t="str">
        <f>"T457-3"</f>
        <v>T457-3</v>
      </c>
      <c r="B362" t="str">
        <f t="shared" si="40"/>
        <v>SALITA RUINA VICINO AL 5-</v>
      </c>
      <c r="C362" t="str">
        <f t="shared" si="39"/>
        <v>5</v>
      </c>
      <c r="D362">
        <v>36</v>
      </c>
      <c r="E362" t="str">
        <f>"141"</f>
        <v>141</v>
      </c>
      <c r="F362" t="str">
        <f t="shared" si="41"/>
        <v>0000</v>
      </c>
    </row>
    <row r="363" spans="1:6">
      <c r="A363" t="str">
        <f>"T457-4"</f>
        <v>T457-4</v>
      </c>
      <c r="B363" t="str">
        <f t="shared" si="40"/>
        <v>SALITA RUINA VICINO AL 5-</v>
      </c>
      <c r="C363" t="str">
        <f t="shared" si="39"/>
        <v>5</v>
      </c>
      <c r="D363">
        <v>36</v>
      </c>
      <c r="E363" t="str">
        <f>"142"</f>
        <v>142</v>
      </c>
      <c r="F363" t="str">
        <f t="shared" si="41"/>
        <v>0000</v>
      </c>
    </row>
    <row r="364" spans="1:6">
      <c r="A364" t="str">
        <f>"T457-5"</f>
        <v>T457-5</v>
      </c>
      <c r="B364" t="str">
        <f t="shared" si="40"/>
        <v>SALITA RUINA VICINO AL 5-</v>
      </c>
      <c r="C364" t="str">
        <f t="shared" si="39"/>
        <v>5</v>
      </c>
      <c r="D364">
        <v>36</v>
      </c>
      <c r="E364" t="str">
        <f>"143"</f>
        <v>143</v>
      </c>
      <c r="F364" t="str">
        <f t="shared" si="41"/>
        <v>0000</v>
      </c>
    </row>
    <row r="365" spans="1:6">
      <c r="A365" t="str">
        <f>"T457-6"</f>
        <v>T457-6</v>
      </c>
      <c r="B365" t="str">
        <f t="shared" si="40"/>
        <v>SALITA RUINA VICINO AL 5-</v>
      </c>
      <c r="C365" t="str">
        <f t="shared" si="39"/>
        <v>5</v>
      </c>
      <c r="D365">
        <v>36</v>
      </c>
      <c r="E365" t="str">
        <f>"144"</f>
        <v>144</v>
      </c>
      <c r="F365" t="str">
        <f t="shared" si="41"/>
        <v>0000</v>
      </c>
    </row>
    <row r="366" spans="1:6">
      <c r="A366" t="str">
        <f>"T457-9"</f>
        <v>T457-9</v>
      </c>
      <c r="B366" t="str">
        <f t="shared" si="40"/>
        <v>SALITA RUINA VICINO AL 5-</v>
      </c>
      <c r="C366" t="str">
        <f t="shared" si="39"/>
        <v>5</v>
      </c>
      <c r="D366">
        <v>36</v>
      </c>
      <c r="E366" t="str">
        <f>"138"</f>
        <v>138</v>
      </c>
      <c r="F366" t="str">
        <f t="shared" si="41"/>
        <v>0000</v>
      </c>
    </row>
    <row r="367" spans="1:6">
      <c r="A367" t="str">
        <f>"T458-1"</f>
        <v>T458-1</v>
      </c>
      <c r="B367" t="str">
        <f>"VIA GIOVANNI TROSSARELLI VICINO AL 181-"</f>
        <v>VIA GIOVANNI TROSSARELLI VICINO AL 181-</v>
      </c>
      <c r="C367" t="str">
        <f t="shared" si="39"/>
        <v>5</v>
      </c>
      <c r="D367">
        <v>25</v>
      </c>
      <c r="E367" t="str">
        <f>"831"</f>
        <v>831</v>
      </c>
      <c r="F367" t="str">
        <f t="shared" si="41"/>
        <v>0000</v>
      </c>
    </row>
    <row r="368" spans="1:6">
      <c r="A368" t="str">
        <f>"T459-1"</f>
        <v>T459-1</v>
      </c>
      <c r="B368" t="str">
        <f>"VIA CAMPOPIANO DI SERINO VICINO AL 5-"</f>
        <v>VIA CAMPOPIANO DI SERINO VICINO AL 5-</v>
      </c>
      <c r="C368" t="str">
        <f t="shared" si="39"/>
        <v>5</v>
      </c>
      <c r="D368">
        <v>44</v>
      </c>
      <c r="E368" t="str">
        <f>"1348"</f>
        <v>1348</v>
      </c>
      <c r="F368" t="str">
        <f t="shared" si="41"/>
        <v>0000</v>
      </c>
    </row>
    <row r="369" spans="1:6">
      <c r="A369" t="str">
        <f>"T460-1"</f>
        <v>T460-1</v>
      </c>
      <c r="B369" t="str">
        <f>"VIA STRUPPA VICINO AL 296-"</f>
        <v>VIA STRUPPA VICINO AL 296-</v>
      </c>
      <c r="C369" t="str">
        <f t="shared" si="39"/>
        <v>5</v>
      </c>
      <c r="D369">
        <v>36</v>
      </c>
      <c r="E369" t="str">
        <f>"237"</f>
        <v>237</v>
      </c>
      <c r="F369" t="str">
        <f t="shared" si="41"/>
        <v>0000</v>
      </c>
    </row>
    <row r="370" spans="1:6">
      <c r="A370" t="str">
        <f>"T461-1"</f>
        <v>T461-1</v>
      </c>
      <c r="B370" t="str">
        <f>"VIA STRUPPA VICINO AL 131-"</f>
        <v>VIA STRUPPA VICINO AL 131-</v>
      </c>
      <c r="C370" t="str">
        <f t="shared" si="39"/>
        <v>5</v>
      </c>
      <c r="D370">
        <v>36</v>
      </c>
      <c r="E370" t="str">
        <f>"238"</f>
        <v>238</v>
      </c>
      <c r="F370" t="str">
        <f t="shared" si="41"/>
        <v>0000</v>
      </c>
    </row>
    <row r="371" spans="1:6">
      <c r="A371" t="str">
        <f>"T466-1"</f>
        <v>T466-1</v>
      </c>
      <c r="B371" t="str">
        <f>"PIAZZALE PARENZO VICINO AL 1R-"</f>
        <v>PIAZZALE PARENZO VICINO AL 1R-</v>
      </c>
      <c r="C371" t="str">
        <f t="shared" ref="C371:C394" si="42">"1"</f>
        <v>1</v>
      </c>
      <c r="D371">
        <v>20</v>
      </c>
      <c r="E371" t="str">
        <f>"1122"</f>
        <v>1122</v>
      </c>
      <c r="F371" t="str">
        <f t="shared" si="41"/>
        <v>0000</v>
      </c>
    </row>
    <row r="372" spans="1:6">
      <c r="A372" t="str">
        <f>"T467-1"</f>
        <v>T467-1</v>
      </c>
      <c r="B372" t="str">
        <f>"VIA BOBBIO VICINO AL 23-"</f>
        <v>VIA BOBBIO VICINO AL 23-</v>
      </c>
      <c r="C372" t="str">
        <f t="shared" si="42"/>
        <v>1</v>
      </c>
      <c r="D372">
        <v>19</v>
      </c>
      <c r="E372" t="str">
        <f>"99999"</f>
        <v>99999</v>
      </c>
      <c r="F372" t="str">
        <f t="shared" si="41"/>
        <v>0000</v>
      </c>
    </row>
    <row r="373" spans="1:6">
      <c r="A373" t="str">
        <f>"T467-2"</f>
        <v>T467-2</v>
      </c>
      <c r="B373" t="str">
        <f>"VIA BOBBIO VICINO AL 23-"</f>
        <v>VIA BOBBIO VICINO AL 23-</v>
      </c>
      <c r="C373" t="str">
        <f t="shared" si="42"/>
        <v>1</v>
      </c>
      <c r="D373">
        <v>19</v>
      </c>
      <c r="E373" t="str">
        <f>"296"</f>
        <v>296</v>
      </c>
      <c r="F373" t="str">
        <f t="shared" si="41"/>
        <v>0000</v>
      </c>
    </row>
    <row r="374" spans="1:6">
      <c r="A374" t="str">
        <f>"T467-3"</f>
        <v>T467-3</v>
      </c>
      <c r="B374" t="str">
        <f>"VIA BOBBIO VICINO AL 23-"</f>
        <v>VIA BOBBIO VICINO AL 23-</v>
      </c>
      <c r="C374" t="str">
        <f t="shared" si="42"/>
        <v>1</v>
      </c>
      <c r="D374">
        <v>37</v>
      </c>
      <c r="E374" t="str">
        <f>"181"</f>
        <v>181</v>
      </c>
      <c r="F374" t="str">
        <f t="shared" si="41"/>
        <v>0000</v>
      </c>
    </row>
    <row r="375" spans="1:6">
      <c r="A375" t="str">
        <f>"T467-4"</f>
        <v>T467-4</v>
      </c>
      <c r="B375" t="str">
        <f>"VIA BOBBIO VICINO AL 23-"</f>
        <v>VIA BOBBIO VICINO AL 23-</v>
      </c>
      <c r="C375" t="str">
        <f t="shared" si="42"/>
        <v>1</v>
      </c>
      <c r="D375">
        <v>38</v>
      </c>
      <c r="E375" t="str">
        <f>"99999"</f>
        <v>99999</v>
      </c>
      <c r="F375" t="str">
        <f t="shared" si="41"/>
        <v>0000</v>
      </c>
    </row>
    <row r="376" spans="1:6">
      <c r="A376" t="str">
        <f>"T467-4"</f>
        <v>T467-4</v>
      </c>
      <c r="B376" t="str">
        <f>"VIA BOBBIO VICINO AL 23-"</f>
        <v>VIA BOBBIO VICINO AL 23-</v>
      </c>
      <c r="C376" t="str">
        <f t="shared" si="42"/>
        <v>1</v>
      </c>
      <c r="D376">
        <v>37</v>
      </c>
      <c r="E376" t="str">
        <f>"99999"</f>
        <v>99999</v>
      </c>
      <c r="F376" t="str">
        <f t="shared" si="41"/>
        <v>0000</v>
      </c>
    </row>
    <row r="377" spans="1:6">
      <c r="A377" t="str">
        <f>"T468-1"</f>
        <v>T468-1</v>
      </c>
      <c r="B377" t="str">
        <f>"VIA BOBBIO VICINO AL 50-"</f>
        <v>VIA BOBBIO VICINO AL 50-</v>
      </c>
      <c r="C377" t="str">
        <f t="shared" si="42"/>
        <v>1</v>
      </c>
      <c r="D377">
        <v>38</v>
      </c>
      <c r="E377" t="str">
        <f>"474"</f>
        <v>474</v>
      </c>
      <c r="F377" t="str">
        <f t="shared" si="41"/>
        <v>0000</v>
      </c>
    </row>
    <row r="378" spans="1:6">
      <c r="A378" t="str">
        <f>"T468-2"</f>
        <v>T468-2</v>
      </c>
      <c r="B378" t="str">
        <f>"VIA BOBBIO VICINO AL 50-"</f>
        <v>VIA BOBBIO VICINO AL 50-</v>
      </c>
      <c r="C378" t="str">
        <f t="shared" si="42"/>
        <v>1</v>
      </c>
      <c r="D378">
        <v>38</v>
      </c>
      <c r="E378" t="str">
        <f>"277"</f>
        <v>277</v>
      </c>
      <c r="F378" t="str">
        <f t="shared" si="41"/>
        <v>0000</v>
      </c>
    </row>
    <row r="379" spans="1:6">
      <c r="A379" t="str">
        <f>"T468-3"</f>
        <v>T468-3</v>
      </c>
      <c r="B379" t="str">
        <f>"VIA BOBBIO VICINO AL 50-"</f>
        <v>VIA BOBBIO VICINO AL 50-</v>
      </c>
      <c r="C379" t="str">
        <f t="shared" si="42"/>
        <v>1</v>
      </c>
      <c r="D379">
        <v>38</v>
      </c>
      <c r="E379" t="str">
        <f>"275"</f>
        <v>275</v>
      </c>
      <c r="F379" t="str">
        <f t="shared" si="41"/>
        <v>0000</v>
      </c>
    </row>
    <row r="380" spans="1:6">
      <c r="A380" t="str">
        <f>"T468-4"</f>
        <v>T468-4</v>
      </c>
      <c r="B380" t="str">
        <f>"VIA BOBBIO VICINO AL 50-"</f>
        <v>VIA BOBBIO VICINO AL 50-</v>
      </c>
      <c r="C380" t="str">
        <f t="shared" si="42"/>
        <v>1</v>
      </c>
      <c r="D380">
        <v>38</v>
      </c>
      <c r="E380" t="str">
        <f>"276"</f>
        <v>276</v>
      </c>
      <c r="F380" t="str">
        <f t="shared" si="41"/>
        <v>0000</v>
      </c>
    </row>
    <row r="381" spans="1:6">
      <c r="A381" t="str">
        <f>"T468-5"</f>
        <v>T468-5</v>
      </c>
      <c r="B381" t="str">
        <f>"VIA BOBBIO VICINO AL 50-"</f>
        <v>VIA BOBBIO VICINO AL 50-</v>
      </c>
      <c r="C381" t="str">
        <f t="shared" si="42"/>
        <v>1</v>
      </c>
      <c r="D381">
        <v>38</v>
      </c>
      <c r="E381" t="str">
        <f>"270"</f>
        <v>270</v>
      </c>
      <c r="F381" t="str">
        <f t="shared" si="41"/>
        <v>0000</v>
      </c>
    </row>
    <row r="382" spans="1:6">
      <c r="A382" t="str">
        <f>"T470-1"</f>
        <v>T470-1</v>
      </c>
      <c r="B382" t="str">
        <f t="shared" ref="B382:B394" si="43">"VIA CARSO VICINO AL 10-"</f>
        <v>VIA CARSO VICINO AL 10-</v>
      </c>
      <c r="C382" t="str">
        <f t="shared" si="42"/>
        <v>1</v>
      </c>
      <c r="D382">
        <v>37</v>
      </c>
      <c r="E382" t="str">
        <f>"36"</f>
        <v>36</v>
      </c>
      <c r="F382" t="str">
        <f t="shared" si="41"/>
        <v>0000</v>
      </c>
    </row>
    <row r="383" spans="1:6">
      <c r="A383" t="str">
        <f>"T470-7"</f>
        <v>T470-7</v>
      </c>
      <c r="B383" t="str">
        <f t="shared" si="43"/>
        <v>VIA CARSO VICINO AL 10-</v>
      </c>
      <c r="C383" t="str">
        <f t="shared" si="42"/>
        <v>1</v>
      </c>
      <c r="D383">
        <v>37</v>
      </c>
      <c r="E383" t="str">
        <f>"95"</f>
        <v>95</v>
      </c>
      <c r="F383" t="str">
        <f t="shared" si="41"/>
        <v>0000</v>
      </c>
    </row>
    <row r="384" spans="1:6">
      <c r="A384" t="str">
        <f>"T470-8"</f>
        <v>T470-8</v>
      </c>
      <c r="B384" t="str">
        <f t="shared" si="43"/>
        <v>VIA CARSO VICINO AL 10-</v>
      </c>
      <c r="C384" t="str">
        <f t="shared" si="42"/>
        <v>1</v>
      </c>
      <c r="D384">
        <v>37</v>
      </c>
      <c r="E384" t="str">
        <f>"89"</f>
        <v>89</v>
      </c>
      <c r="F384" t="str">
        <f t="shared" si="41"/>
        <v>0000</v>
      </c>
    </row>
    <row r="385" spans="1:6">
      <c r="A385" t="str">
        <f>"T470-9"</f>
        <v>T470-9</v>
      </c>
      <c r="B385" t="str">
        <f t="shared" si="43"/>
        <v>VIA CARSO VICINO AL 10-</v>
      </c>
      <c r="C385" t="str">
        <f t="shared" si="42"/>
        <v>1</v>
      </c>
      <c r="D385">
        <v>37</v>
      </c>
      <c r="E385" t="str">
        <f>"99"</f>
        <v>99</v>
      </c>
      <c r="F385" t="str">
        <f t="shared" si="41"/>
        <v>0000</v>
      </c>
    </row>
    <row r="386" spans="1:6">
      <c r="A386" t="str">
        <f>"T470-10"</f>
        <v>T470-10</v>
      </c>
      <c r="B386" t="str">
        <f t="shared" si="43"/>
        <v>VIA CARSO VICINO AL 10-</v>
      </c>
      <c r="C386" t="str">
        <f t="shared" si="42"/>
        <v>1</v>
      </c>
      <c r="D386">
        <v>37</v>
      </c>
      <c r="E386" t="str">
        <f>"100"</f>
        <v>100</v>
      </c>
      <c r="F386" t="str">
        <f t="shared" si="41"/>
        <v>0000</v>
      </c>
    </row>
    <row r="387" spans="1:6">
      <c r="A387" t="str">
        <f>"T470-11"</f>
        <v>T470-11</v>
      </c>
      <c r="B387" t="str">
        <f t="shared" si="43"/>
        <v>VIA CARSO VICINO AL 10-</v>
      </c>
      <c r="C387" t="str">
        <f t="shared" si="42"/>
        <v>1</v>
      </c>
      <c r="D387">
        <v>37</v>
      </c>
      <c r="E387" t="str">
        <f>"261"</f>
        <v>261</v>
      </c>
      <c r="F387" t="str">
        <f t="shared" si="41"/>
        <v>0000</v>
      </c>
    </row>
    <row r="388" spans="1:6">
      <c r="A388" t="str">
        <f>"T470-14"</f>
        <v>T470-14</v>
      </c>
      <c r="B388" t="str">
        <f t="shared" si="43"/>
        <v>VIA CARSO VICINO AL 10-</v>
      </c>
      <c r="C388" t="str">
        <f t="shared" si="42"/>
        <v>1</v>
      </c>
      <c r="D388">
        <v>37</v>
      </c>
      <c r="E388" t="str">
        <f>"413"</f>
        <v>413</v>
      </c>
      <c r="F388" t="str">
        <f t="shared" si="41"/>
        <v>0000</v>
      </c>
    </row>
    <row r="389" spans="1:6">
      <c r="A389" t="str">
        <f>"T470-16"</f>
        <v>T470-16</v>
      </c>
      <c r="B389" t="str">
        <f t="shared" si="43"/>
        <v>VIA CARSO VICINO AL 10-</v>
      </c>
      <c r="C389" t="str">
        <f t="shared" si="42"/>
        <v>1</v>
      </c>
      <c r="D389">
        <v>18</v>
      </c>
      <c r="E389" t="str">
        <f>"301"</f>
        <v>301</v>
      </c>
      <c r="F389" t="str">
        <f t="shared" si="41"/>
        <v>0000</v>
      </c>
    </row>
    <row r="390" spans="1:6">
      <c r="A390" t="str">
        <f>"T470-17"</f>
        <v>T470-17</v>
      </c>
      <c r="B390" t="str">
        <f t="shared" si="43"/>
        <v>VIA CARSO VICINO AL 10-</v>
      </c>
      <c r="C390" t="str">
        <f t="shared" si="42"/>
        <v>1</v>
      </c>
      <c r="D390">
        <v>18</v>
      </c>
      <c r="E390" t="str">
        <f>"402"</f>
        <v>402</v>
      </c>
      <c r="F390" t="str">
        <f t="shared" si="41"/>
        <v>0000</v>
      </c>
    </row>
    <row r="391" spans="1:6">
      <c r="A391" t="str">
        <f>"T470-18"</f>
        <v>T470-18</v>
      </c>
      <c r="B391" t="str">
        <f t="shared" si="43"/>
        <v>VIA CARSO VICINO AL 10-</v>
      </c>
      <c r="C391" t="str">
        <f t="shared" si="42"/>
        <v>1</v>
      </c>
      <c r="D391">
        <v>18</v>
      </c>
      <c r="E391" t="str">
        <f>"480"</f>
        <v>480</v>
      </c>
      <c r="F391" t="str">
        <f t="shared" si="41"/>
        <v>0000</v>
      </c>
    </row>
    <row r="392" spans="1:6">
      <c r="A392" t="str">
        <f>"T470-19"</f>
        <v>T470-19</v>
      </c>
      <c r="B392" t="str">
        <f t="shared" si="43"/>
        <v>VIA CARSO VICINO AL 10-</v>
      </c>
      <c r="C392" t="str">
        <f t="shared" si="42"/>
        <v>1</v>
      </c>
      <c r="D392">
        <v>18</v>
      </c>
      <c r="E392" t="str">
        <f>"303"</f>
        <v>303</v>
      </c>
      <c r="F392" t="str">
        <f t="shared" si="41"/>
        <v>0000</v>
      </c>
    </row>
    <row r="393" spans="1:6">
      <c r="A393" t="str">
        <f>"T470-20"</f>
        <v>T470-20</v>
      </c>
      <c r="B393" t="str">
        <f t="shared" si="43"/>
        <v>VIA CARSO VICINO AL 10-</v>
      </c>
      <c r="C393" t="str">
        <f t="shared" si="42"/>
        <v>1</v>
      </c>
      <c r="D393">
        <v>18</v>
      </c>
      <c r="E393" t="str">
        <f>"302"</f>
        <v>302</v>
      </c>
      <c r="F393" t="str">
        <f t="shared" si="41"/>
        <v>0000</v>
      </c>
    </row>
    <row r="394" spans="1:6">
      <c r="A394" t="str">
        <f>"T470-21"</f>
        <v>T470-21</v>
      </c>
      <c r="B394" t="str">
        <f t="shared" si="43"/>
        <v>VIA CARSO VICINO AL 10-</v>
      </c>
      <c r="C394" t="str">
        <f t="shared" si="42"/>
        <v>1</v>
      </c>
      <c r="D394">
        <v>18</v>
      </c>
      <c r="E394" t="str">
        <f>"292"</f>
        <v>292</v>
      </c>
      <c r="F394" t="str">
        <f t="shared" si="41"/>
        <v>0000</v>
      </c>
    </row>
    <row r="395" spans="1:6">
      <c r="A395" t="str">
        <f>"T474-1"</f>
        <v>T474-1</v>
      </c>
      <c r="B395" t="str">
        <f>"VIA MOLASSANA VICINO AL 28-"</f>
        <v>VIA MOLASSANA VICINO AL 28-</v>
      </c>
      <c r="C395" t="str">
        <f t="shared" ref="C395:C421" si="44">"5"</f>
        <v>5</v>
      </c>
      <c r="D395">
        <v>8</v>
      </c>
      <c r="E395" t="str">
        <f>"461"</f>
        <v>461</v>
      </c>
      <c r="F395" t="str">
        <f t="shared" si="41"/>
        <v>0000</v>
      </c>
    </row>
    <row r="396" spans="1:6">
      <c r="A396" t="str">
        <f>"T490-1"</f>
        <v>T490-1</v>
      </c>
      <c r="B396" t="str">
        <f>"VIA MOLASSANA VICINO AL 32-"</f>
        <v>VIA MOLASSANA VICINO AL 32-</v>
      </c>
      <c r="C396" t="str">
        <f t="shared" si="44"/>
        <v>5</v>
      </c>
      <c r="D396">
        <v>8</v>
      </c>
      <c r="E396" t="str">
        <f>"461"</f>
        <v>461</v>
      </c>
      <c r="F396" t="str">
        <f t="shared" si="41"/>
        <v>0000</v>
      </c>
    </row>
    <row r="397" spans="1:6">
      <c r="A397" t="str">
        <f>"T492-1"</f>
        <v>T492-1</v>
      </c>
      <c r="B397" t="str">
        <f t="shared" ref="B397:B408" si="45">"VIA RUBALDO MERELLO VICINO AL 50-"</f>
        <v>VIA RUBALDO MERELLO VICINO AL 50-</v>
      </c>
      <c r="C397" t="str">
        <f t="shared" si="44"/>
        <v>5</v>
      </c>
      <c r="D397">
        <v>40</v>
      </c>
      <c r="E397" t="str">
        <f>"207"</f>
        <v>207</v>
      </c>
      <c r="F397" t="str">
        <f t="shared" si="41"/>
        <v>0000</v>
      </c>
    </row>
    <row r="398" spans="1:6">
      <c r="A398" t="str">
        <f>"T492-2"</f>
        <v>T492-2</v>
      </c>
      <c r="B398" t="str">
        <f t="shared" si="45"/>
        <v>VIA RUBALDO MERELLO VICINO AL 50-</v>
      </c>
      <c r="C398" t="str">
        <f t="shared" si="44"/>
        <v>5</v>
      </c>
      <c r="D398">
        <v>40</v>
      </c>
      <c r="E398" t="str">
        <f>"206"</f>
        <v>206</v>
      </c>
      <c r="F398" t="str">
        <f t="shared" si="41"/>
        <v>0000</v>
      </c>
    </row>
    <row r="399" spans="1:6">
      <c r="A399" t="str">
        <f>"T492-3"</f>
        <v>T492-3</v>
      </c>
      <c r="B399" t="str">
        <f t="shared" si="45"/>
        <v>VIA RUBALDO MERELLO VICINO AL 50-</v>
      </c>
      <c r="C399" t="str">
        <f t="shared" si="44"/>
        <v>5</v>
      </c>
      <c r="D399">
        <v>40</v>
      </c>
      <c r="E399" t="str">
        <f>"208"</f>
        <v>208</v>
      </c>
      <c r="F399" t="str">
        <f t="shared" si="41"/>
        <v>0000</v>
      </c>
    </row>
    <row r="400" spans="1:6">
      <c r="A400" t="str">
        <f>"T492-4"</f>
        <v>T492-4</v>
      </c>
      <c r="B400" t="str">
        <f t="shared" si="45"/>
        <v>VIA RUBALDO MERELLO VICINO AL 50-</v>
      </c>
      <c r="C400" t="str">
        <f t="shared" si="44"/>
        <v>5</v>
      </c>
      <c r="D400">
        <v>40</v>
      </c>
      <c r="E400" t="str">
        <f>"200"</f>
        <v>200</v>
      </c>
      <c r="F400" t="str">
        <f t="shared" si="41"/>
        <v>0000</v>
      </c>
    </row>
    <row r="401" spans="1:6">
      <c r="A401" t="str">
        <f>"T492-5"</f>
        <v>T492-5</v>
      </c>
      <c r="B401" t="str">
        <f t="shared" si="45"/>
        <v>VIA RUBALDO MERELLO VICINO AL 50-</v>
      </c>
      <c r="C401" t="str">
        <f t="shared" si="44"/>
        <v>5</v>
      </c>
      <c r="D401">
        <v>40</v>
      </c>
      <c r="E401" t="str">
        <f>"199"</f>
        <v>199</v>
      </c>
      <c r="F401" t="str">
        <f t="shared" si="41"/>
        <v>0000</v>
      </c>
    </row>
    <row r="402" spans="1:6">
      <c r="A402" t="str">
        <f>"T492-6"</f>
        <v>T492-6</v>
      </c>
      <c r="B402" t="str">
        <f t="shared" si="45"/>
        <v>VIA RUBALDO MERELLO VICINO AL 50-</v>
      </c>
      <c r="C402" t="str">
        <f t="shared" si="44"/>
        <v>5</v>
      </c>
      <c r="D402">
        <v>40</v>
      </c>
      <c r="E402" t="str">
        <f>"248"</f>
        <v>248</v>
      </c>
      <c r="F402" t="str">
        <f t="shared" si="41"/>
        <v>0000</v>
      </c>
    </row>
    <row r="403" spans="1:6">
      <c r="A403" t="str">
        <f>"T492-7"</f>
        <v>T492-7</v>
      </c>
      <c r="B403" t="str">
        <f t="shared" si="45"/>
        <v>VIA RUBALDO MERELLO VICINO AL 50-</v>
      </c>
      <c r="C403" t="str">
        <f t="shared" si="44"/>
        <v>5</v>
      </c>
      <c r="D403">
        <v>40</v>
      </c>
      <c r="E403" t="str">
        <f>"247"</f>
        <v>247</v>
      </c>
      <c r="F403" t="str">
        <f t="shared" si="41"/>
        <v>0000</v>
      </c>
    </row>
    <row r="404" spans="1:6">
      <c r="A404" t="str">
        <f>"T492-8"</f>
        <v>T492-8</v>
      </c>
      <c r="B404" t="str">
        <f t="shared" si="45"/>
        <v>VIA RUBALDO MERELLO VICINO AL 50-</v>
      </c>
      <c r="C404" t="str">
        <f t="shared" si="44"/>
        <v>5</v>
      </c>
      <c r="D404">
        <v>40</v>
      </c>
      <c r="E404" t="str">
        <f>"12"</f>
        <v>12</v>
      </c>
      <c r="F404" t="str">
        <f t="shared" si="41"/>
        <v>0000</v>
      </c>
    </row>
    <row r="405" spans="1:6">
      <c r="A405" t="str">
        <f>"T492-9"</f>
        <v>T492-9</v>
      </c>
      <c r="B405" t="str">
        <f t="shared" si="45"/>
        <v>VIA RUBALDO MERELLO VICINO AL 50-</v>
      </c>
      <c r="C405" t="str">
        <f t="shared" si="44"/>
        <v>5</v>
      </c>
      <c r="D405">
        <v>40</v>
      </c>
      <c r="E405" t="str">
        <f>"13"</f>
        <v>13</v>
      </c>
      <c r="F405" t="str">
        <f t="shared" si="41"/>
        <v>0000</v>
      </c>
    </row>
    <row r="406" spans="1:6">
      <c r="A406" t="str">
        <f>"T492-10"</f>
        <v>T492-10</v>
      </c>
      <c r="B406" t="str">
        <f t="shared" si="45"/>
        <v>VIA RUBALDO MERELLO VICINO AL 50-</v>
      </c>
      <c r="C406" t="str">
        <f t="shared" si="44"/>
        <v>5</v>
      </c>
      <c r="D406">
        <v>40</v>
      </c>
      <c r="E406" t="str">
        <f>"247"</f>
        <v>247</v>
      </c>
      <c r="F406" t="str">
        <f t="shared" si="41"/>
        <v>0000</v>
      </c>
    </row>
    <row r="407" spans="1:6">
      <c r="A407" t="str">
        <f>"T492-11"</f>
        <v>T492-11</v>
      </c>
      <c r="B407" t="str">
        <f t="shared" si="45"/>
        <v>VIA RUBALDO MERELLO VICINO AL 50-</v>
      </c>
      <c r="C407" t="str">
        <f t="shared" si="44"/>
        <v>5</v>
      </c>
      <c r="D407">
        <v>40</v>
      </c>
      <c r="E407" t="str">
        <f>"202"</f>
        <v>202</v>
      </c>
      <c r="F407" t="str">
        <f t="shared" si="41"/>
        <v>0000</v>
      </c>
    </row>
    <row r="408" spans="1:6">
      <c r="A408" t="str">
        <f>"T492-12"</f>
        <v>T492-12</v>
      </c>
      <c r="B408" t="str">
        <f t="shared" si="45"/>
        <v>VIA RUBALDO MERELLO VICINO AL 50-</v>
      </c>
      <c r="C408" t="str">
        <f t="shared" si="44"/>
        <v>5</v>
      </c>
      <c r="D408">
        <v>40</v>
      </c>
      <c r="E408" t="str">
        <f>"252"</f>
        <v>252</v>
      </c>
      <c r="F408" t="str">
        <f t="shared" si="41"/>
        <v>0000</v>
      </c>
    </row>
    <row r="409" spans="1:6">
      <c r="A409" t="str">
        <f>"T493-1"</f>
        <v>T493-1</v>
      </c>
      <c r="B409" t="str">
        <f t="shared" ref="B409:B417" si="46">"VIA GELASIO ADAMOLI VICINO AL 219-"</f>
        <v>VIA GELASIO ADAMOLI VICINO AL 219-</v>
      </c>
      <c r="C409" t="str">
        <f t="shared" si="44"/>
        <v>5</v>
      </c>
      <c r="D409">
        <v>40</v>
      </c>
      <c r="E409" t="str">
        <f>"199"</f>
        <v>199</v>
      </c>
      <c r="F409" t="str">
        <f t="shared" si="41"/>
        <v>0000</v>
      </c>
    </row>
    <row r="410" spans="1:6">
      <c r="A410" t="str">
        <f>"T493-2"</f>
        <v>T493-2</v>
      </c>
      <c r="B410" t="str">
        <f t="shared" si="46"/>
        <v>VIA GELASIO ADAMOLI VICINO AL 219-</v>
      </c>
      <c r="C410" t="str">
        <f t="shared" si="44"/>
        <v>5</v>
      </c>
      <c r="D410">
        <v>40</v>
      </c>
      <c r="E410" t="str">
        <f>"198"</f>
        <v>198</v>
      </c>
      <c r="F410" t="str">
        <f t="shared" si="41"/>
        <v>0000</v>
      </c>
    </row>
    <row r="411" spans="1:6">
      <c r="A411" t="str">
        <f>"T493-3"</f>
        <v>T493-3</v>
      </c>
      <c r="B411" t="str">
        <f t="shared" si="46"/>
        <v>VIA GELASIO ADAMOLI VICINO AL 219-</v>
      </c>
      <c r="C411" t="str">
        <f t="shared" si="44"/>
        <v>5</v>
      </c>
      <c r="D411">
        <v>40</v>
      </c>
      <c r="E411" t="str">
        <f>"131"</f>
        <v>131</v>
      </c>
      <c r="F411" t="str">
        <f t="shared" si="41"/>
        <v>0000</v>
      </c>
    </row>
    <row r="412" spans="1:6">
      <c r="A412" t="str">
        <f>"T493-4"</f>
        <v>T493-4</v>
      </c>
      <c r="B412" t="str">
        <f t="shared" si="46"/>
        <v>VIA GELASIO ADAMOLI VICINO AL 219-</v>
      </c>
      <c r="C412" t="str">
        <f t="shared" si="44"/>
        <v>5</v>
      </c>
      <c r="D412">
        <v>40</v>
      </c>
      <c r="E412" t="str">
        <f>"2"</f>
        <v>2</v>
      </c>
      <c r="F412" t="str">
        <f t="shared" si="41"/>
        <v>0000</v>
      </c>
    </row>
    <row r="413" spans="1:6">
      <c r="A413" t="str">
        <f>"T493-5"</f>
        <v>T493-5</v>
      </c>
      <c r="B413" t="str">
        <f t="shared" si="46"/>
        <v>VIA GELASIO ADAMOLI VICINO AL 219-</v>
      </c>
      <c r="C413" t="str">
        <f t="shared" si="44"/>
        <v>5</v>
      </c>
      <c r="D413">
        <v>40</v>
      </c>
      <c r="E413" t="str">
        <f>"12"</f>
        <v>12</v>
      </c>
      <c r="F413" t="str">
        <f t="shared" si="41"/>
        <v>0000</v>
      </c>
    </row>
    <row r="414" spans="1:6">
      <c r="A414" t="str">
        <f>"T493-6"</f>
        <v>T493-6</v>
      </c>
      <c r="B414" t="str">
        <f t="shared" si="46"/>
        <v>VIA GELASIO ADAMOLI VICINO AL 219-</v>
      </c>
      <c r="C414" t="str">
        <f t="shared" si="44"/>
        <v>5</v>
      </c>
      <c r="D414">
        <v>40</v>
      </c>
      <c r="E414" t="str">
        <f>"247"</f>
        <v>247</v>
      </c>
      <c r="F414" t="str">
        <f t="shared" si="41"/>
        <v>0000</v>
      </c>
    </row>
    <row r="415" spans="1:6">
      <c r="A415" t="str">
        <f>"T493-7"</f>
        <v>T493-7</v>
      </c>
      <c r="B415" t="str">
        <f t="shared" si="46"/>
        <v>VIA GELASIO ADAMOLI VICINO AL 219-</v>
      </c>
      <c r="C415" t="str">
        <f t="shared" si="44"/>
        <v>5</v>
      </c>
      <c r="D415">
        <v>40</v>
      </c>
      <c r="E415" t="str">
        <f>"247"</f>
        <v>247</v>
      </c>
      <c r="F415" t="str">
        <f t="shared" si="41"/>
        <v>0000</v>
      </c>
    </row>
    <row r="416" spans="1:6">
      <c r="A416" t="str">
        <f>"T493-8"</f>
        <v>T493-8</v>
      </c>
      <c r="B416" t="str">
        <f t="shared" si="46"/>
        <v>VIA GELASIO ADAMOLI VICINO AL 219-</v>
      </c>
      <c r="C416" t="str">
        <f t="shared" si="44"/>
        <v>5</v>
      </c>
      <c r="D416">
        <v>40</v>
      </c>
      <c r="E416" t="str">
        <f>"202"</f>
        <v>202</v>
      </c>
      <c r="F416" t="str">
        <f t="shared" si="41"/>
        <v>0000</v>
      </c>
    </row>
    <row r="417" spans="1:6">
      <c r="A417" t="str">
        <f>"T493-9"</f>
        <v>T493-9</v>
      </c>
      <c r="B417" t="str">
        <f t="shared" si="46"/>
        <v>VIA GELASIO ADAMOLI VICINO AL 219-</v>
      </c>
      <c r="C417" t="str">
        <f t="shared" si="44"/>
        <v>5</v>
      </c>
      <c r="D417">
        <v>40</v>
      </c>
      <c r="E417" t="str">
        <f>"6"</f>
        <v>6</v>
      </c>
      <c r="F417" t="str">
        <f t="shared" si="41"/>
        <v>0000</v>
      </c>
    </row>
    <row r="418" spans="1:6">
      <c r="A418" t="str">
        <f>"T494-1"</f>
        <v>T494-1</v>
      </c>
      <c r="B418" t="str">
        <f>"VIA RUBALDO MERELLO VICINO AL 36-"</f>
        <v>VIA RUBALDO MERELLO VICINO AL 36-</v>
      </c>
      <c r="C418" t="str">
        <f t="shared" si="44"/>
        <v>5</v>
      </c>
      <c r="D418">
        <v>40</v>
      </c>
      <c r="E418" t="str">
        <f>"5"</f>
        <v>5</v>
      </c>
      <c r="F418" t="str">
        <f t="shared" si="41"/>
        <v>0000</v>
      </c>
    </row>
    <row r="419" spans="1:6">
      <c r="A419" t="str">
        <f>"T494-2"</f>
        <v>T494-2</v>
      </c>
      <c r="B419" t="str">
        <f>"VIA RUBALDO MERELLO VICINO AL 36-"</f>
        <v>VIA RUBALDO MERELLO VICINO AL 36-</v>
      </c>
      <c r="C419" t="str">
        <f t="shared" si="44"/>
        <v>5</v>
      </c>
      <c r="D419">
        <v>40</v>
      </c>
      <c r="E419" t="str">
        <f>"5"</f>
        <v>5</v>
      </c>
      <c r="F419" t="str">
        <f t="shared" si="41"/>
        <v>0000</v>
      </c>
    </row>
    <row r="420" spans="1:6">
      <c r="A420" t="str">
        <f>"T495-1"</f>
        <v>T495-1</v>
      </c>
      <c r="B420" t="str">
        <f>"VIA RUBALDO MERELLO VICINO AL 70-"</f>
        <v>VIA RUBALDO MERELLO VICINO AL 70-</v>
      </c>
      <c r="C420" t="str">
        <f t="shared" si="44"/>
        <v>5</v>
      </c>
      <c r="D420">
        <v>40</v>
      </c>
      <c r="E420" t="str">
        <f>"6"</f>
        <v>6</v>
      </c>
      <c r="F420" t="str">
        <f t="shared" si="41"/>
        <v>0000</v>
      </c>
    </row>
    <row r="421" spans="1:6">
      <c r="A421" t="str">
        <f>"T499-1"</f>
        <v>T499-1</v>
      </c>
      <c r="B421" t="str">
        <f>"VIA MANTOVA VICINO AL 20-"</f>
        <v>VIA MANTOVA VICINO AL 20-</v>
      </c>
      <c r="C421" t="str">
        <f t="shared" si="44"/>
        <v>5</v>
      </c>
      <c r="D421">
        <v>8</v>
      </c>
      <c r="E421" t="str">
        <f>"310"</f>
        <v>310</v>
      </c>
      <c r="F421" t="str">
        <f t="shared" si="41"/>
        <v>0000</v>
      </c>
    </row>
    <row r="422" spans="1:6">
      <c r="A422" t="str">
        <f>"T521-1"</f>
        <v>T521-1</v>
      </c>
      <c r="B422" t="str">
        <f>"VIA BOBBIO VICINO AL 9-"</f>
        <v>VIA BOBBIO VICINO AL 9-</v>
      </c>
      <c r="C422" t="str">
        <f t="shared" ref="C422:C427" si="47">"1"</f>
        <v>1</v>
      </c>
      <c r="D422">
        <v>38</v>
      </c>
      <c r="E422" t="str">
        <f>"334"</f>
        <v>334</v>
      </c>
      <c r="F422" t="str">
        <f t="shared" si="41"/>
        <v>0000</v>
      </c>
    </row>
    <row r="423" spans="1:6">
      <c r="A423" t="str">
        <f>"T522-1"</f>
        <v>T522-1</v>
      </c>
      <c r="B423" t="str">
        <f>"VIA LEONARDO MONTALDO VICINO AL 19-"</f>
        <v>VIA LEONARDO MONTALDO VICINO AL 19-</v>
      </c>
      <c r="C423" t="str">
        <f t="shared" si="47"/>
        <v>1</v>
      </c>
      <c r="D423">
        <v>37</v>
      </c>
      <c r="E423" t="str">
        <f>"22"</f>
        <v>22</v>
      </c>
      <c r="F423" t="str">
        <f t="shared" si="41"/>
        <v>0000</v>
      </c>
    </row>
    <row r="424" spans="1:6">
      <c r="A424" t="str">
        <f>"T523-1"</f>
        <v>T523-1</v>
      </c>
      <c r="B424" t="str">
        <f>"CORSO ALES DE STEFANIS VICINO AL 63-"</f>
        <v>CORSO ALES DE STEFANIS VICINO AL 63-</v>
      </c>
      <c r="C424" t="str">
        <f t="shared" si="47"/>
        <v>1</v>
      </c>
      <c r="D424">
        <v>20</v>
      </c>
      <c r="E424" t="str">
        <f>"737"</f>
        <v>737</v>
      </c>
      <c r="F424" t="str">
        <f t="shared" si="41"/>
        <v>0000</v>
      </c>
    </row>
    <row r="425" spans="1:6">
      <c r="A425" t="str">
        <f>"T524-1"</f>
        <v>T524-1</v>
      </c>
      <c r="B425" t="str">
        <f>"VIA ANTONIO BURLANDO VICINO AL 48-"</f>
        <v>VIA ANTONIO BURLANDO VICINO AL 48-</v>
      </c>
      <c r="C425" t="str">
        <f t="shared" si="47"/>
        <v>1</v>
      </c>
      <c r="D425">
        <v>19</v>
      </c>
      <c r="E425" t="str">
        <f>"167"</f>
        <v>167</v>
      </c>
      <c r="F425" t="str">
        <f t="shared" ref="F425:F488" si="48">"0000"</f>
        <v>0000</v>
      </c>
    </row>
    <row r="426" spans="1:6">
      <c r="A426" t="str">
        <f>"T525-1"</f>
        <v>T525-1</v>
      </c>
      <c r="B426" t="str">
        <f>"VIA DI SAN PANTALEO VICINO AL 12-"</f>
        <v>VIA DI SAN PANTALEO VICINO AL 12-</v>
      </c>
      <c r="C426" t="str">
        <f t="shared" si="47"/>
        <v>1</v>
      </c>
      <c r="D426">
        <v>18</v>
      </c>
      <c r="E426" t="str">
        <f>"279"</f>
        <v>279</v>
      </c>
      <c r="F426" t="str">
        <f t="shared" si="48"/>
        <v>0000</v>
      </c>
    </row>
    <row r="427" spans="1:6">
      <c r="A427" t="str">
        <f>"T525-2"</f>
        <v>T525-2</v>
      </c>
      <c r="B427" t="str">
        <f>"VIA DI SAN PANTALEO VICINO AL 12-"</f>
        <v>VIA DI SAN PANTALEO VICINO AL 12-</v>
      </c>
      <c r="C427" t="str">
        <f t="shared" si="47"/>
        <v>1</v>
      </c>
      <c r="D427">
        <v>18</v>
      </c>
      <c r="E427" t="str">
        <f>"280"</f>
        <v>280</v>
      </c>
      <c r="F427" t="str">
        <f t="shared" si="48"/>
        <v>0000</v>
      </c>
    </row>
    <row r="428" spans="1:6">
      <c r="A428" t="str">
        <f>"T527-1"</f>
        <v>T527-1</v>
      </c>
      <c r="B428" t="str">
        <f>"VIA BAVARI VICINO AL 15-"</f>
        <v>VIA BAVARI VICINO AL 15-</v>
      </c>
      <c r="C428" t="str">
        <f>"5"</f>
        <v>5</v>
      </c>
      <c r="D428">
        <v>51</v>
      </c>
      <c r="E428" t="str">
        <f>"247"</f>
        <v>247</v>
      </c>
      <c r="F428" t="str">
        <f t="shared" si="48"/>
        <v>0000</v>
      </c>
    </row>
    <row r="429" spans="1:6">
      <c r="A429" t="str">
        <f>"T531-1"</f>
        <v>T531-1</v>
      </c>
      <c r="B429" t="str">
        <f>"VIA DELLA PIGNA VICINO AL 1-"</f>
        <v>VIA DELLA PIGNA VICINO AL 1-</v>
      </c>
      <c r="C429" t="str">
        <f>"1"</f>
        <v>1</v>
      </c>
      <c r="D429">
        <v>9</v>
      </c>
      <c r="E429" t="str">
        <f>"206"</f>
        <v>206</v>
      </c>
      <c r="F429" t="str">
        <f t="shared" si="48"/>
        <v>0000</v>
      </c>
    </row>
    <row r="430" spans="1:6">
      <c r="A430" t="str">
        <f>"T533-1"</f>
        <v>T533-1</v>
      </c>
      <c r="B430" t="str">
        <f>"VIA SERINO VICINO AL 30-"</f>
        <v>VIA SERINO VICINO AL 30-</v>
      </c>
      <c r="C430" t="str">
        <f>"5"</f>
        <v>5</v>
      </c>
      <c r="D430">
        <v>44</v>
      </c>
      <c r="E430" t="str">
        <f>"355"</f>
        <v>355</v>
      </c>
      <c r="F430" t="str">
        <f t="shared" si="48"/>
        <v>0000</v>
      </c>
    </row>
    <row r="431" spans="1:6">
      <c r="A431" t="str">
        <f>"T534-1"</f>
        <v>T534-1</v>
      </c>
      <c r="B431" t="str">
        <f>"VIA SERINO VICINO AL 30-"</f>
        <v>VIA SERINO VICINO AL 30-</v>
      </c>
      <c r="C431" t="str">
        <f>"5"</f>
        <v>5</v>
      </c>
      <c r="D431">
        <v>44</v>
      </c>
      <c r="E431" t="str">
        <f>"355"</f>
        <v>355</v>
      </c>
      <c r="F431" t="str">
        <f t="shared" si="48"/>
        <v>0000</v>
      </c>
    </row>
    <row r="432" spans="1:6">
      <c r="A432" t="str">
        <f>"T538-1"</f>
        <v>T538-1</v>
      </c>
      <c r="B432" t="str">
        <f>"PIAZZALE PAUL VALERY VICINO AL 5-"</f>
        <v>PIAZZALE PAUL VALERY VICINO AL 5-</v>
      </c>
      <c r="C432" t="str">
        <f t="shared" ref="C432:C438" si="49">"1"</f>
        <v>1</v>
      </c>
      <c r="D432">
        <v>21</v>
      </c>
      <c r="E432" t="str">
        <f>"1495"</f>
        <v>1495</v>
      </c>
      <c r="F432" t="str">
        <f t="shared" si="48"/>
        <v>0000</v>
      </c>
    </row>
    <row r="433" spans="1:6">
      <c r="A433" t="str">
        <f>"T538-2"</f>
        <v>T538-2</v>
      </c>
      <c r="B433" t="str">
        <f>"PIAZZALE PAUL VALERY VICINO AL 5-"</f>
        <v>PIAZZALE PAUL VALERY VICINO AL 5-</v>
      </c>
      <c r="C433" t="str">
        <f t="shared" si="49"/>
        <v>1</v>
      </c>
      <c r="D433">
        <v>21</v>
      </c>
      <c r="E433" t="str">
        <f>"1496"</f>
        <v>1496</v>
      </c>
      <c r="F433" t="str">
        <f t="shared" si="48"/>
        <v>0000</v>
      </c>
    </row>
    <row r="434" spans="1:6">
      <c r="A434" t="str">
        <f>"T538-3"</f>
        <v>T538-3</v>
      </c>
      <c r="B434" t="str">
        <f>"PIAZZALE PAUL VALERY VICINO AL 5-"</f>
        <v>PIAZZALE PAUL VALERY VICINO AL 5-</v>
      </c>
      <c r="C434" t="str">
        <f t="shared" si="49"/>
        <v>1</v>
      </c>
      <c r="D434">
        <v>21</v>
      </c>
      <c r="E434" t="str">
        <f>"1494"</f>
        <v>1494</v>
      </c>
      <c r="F434" t="str">
        <f t="shared" si="48"/>
        <v>0000</v>
      </c>
    </row>
    <row r="435" spans="1:6">
      <c r="A435" t="str">
        <f>"T538-4"</f>
        <v>T538-4</v>
      </c>
      <c r="B435" t="str">
        <f>"PIAZZALE PAUL VALERY VICINO AL 5-"</f>
        <v>PIAZZALE PAUL VALERY VICINO AL 5-</v>
      </c>
      <c r="C435" t="str">
        <f t="shared" si="49"/>
        <v>1</v>
      </c>
      <c r="D435">
        <v>21</v>
      </c>
      <c r="E435" t="str">
        <f>"1502"</f>
        <v>1502</v>
      </c>
      <c r="F435" t="str">
        <f t="shared" si="48"/>
        <v>0000</v>
      </c>
    </row>
    <row r="436" spans="1:6">
      <c r="A436" t="str">
        <f>"T539-1"</f>
        <v>T539-1</v>
      </c>
      <c r="B436" t="str">
        <f>"LUNGOBISAGNO ISTRIA VICINO AL 35-"</f>
        <v>LUNGOBISAGNO ISTRIA VICINO AL 35-</v>
      </c>
      <c r="C436" t="str">
        <f t="shared" si="49"/>
        <v>1</v>
      </c>
      <c r="D436">
        <v>10</v>
      </c>
      <c r="E436" t="str">
        <f>"235"</f>
        <v>235</v>
      </c>
      <c r="F436" t="str">
        <f t="shared" si="48"/>
        <v>0000</v>
      </c>
    </row>
    <row r="437" spans="1:6">
      <c r="A437" t="str">
        <f>"T539-2"</f>
        <v>T539-2</v>
      </c>
      <c r="B437" t="str">
        <f>"LUNGOBISAGNO ISTRIA VICINO AL 35-"</f>
        <v>LUNGOBISAGNO ISTRIA VICINO AL 35-</v>
      </c>
      <c r="C437" t="str">
        <f t="shared" si="49"/>
        <v>1</v>
      </c>
      <c r="D437">
        <v>10</v>
      </c>
      <c r="E437" t="str">
        <f>"227"</f>
        <v>227</v>
      </c>
      <c r="F437" t="str">
        <f t="shared" si="48"/>
        <v>0000</v>
      </c>
    </row>
    <row r="438" spans="1:6">
      <c r="A438" t="str">
        <f>"T539-3"</f>
        <v>T539-3</v>
      </c>
      <c r="B438" t="str">
        <f>"LUNGOBISAGNO ISTRIA VICINO AL 35-"</f>
        <v>LUNGOBISAGNO ISTRIA VICINO AL 35-</v>
      </c>
      <c r="C438" t="str">
        <f t="shared" si="49"/>
        <v>1</v>
      </c>
      <c r="D438">
        <v>10</v>
      </c>
      <c r="E438" t="str">
        <f>"99999"</f>
        <v>99999</v>
      </c>
      <c r="F438" t="str">
        <f t="shared" si="48"/>
        <v>0000</v>
      </c>
    </row>
    <row r="439" spans="1:6">
      <c r="A439" t="str">
        <f>"T540-1"</f>
        <v>T540-1</v>
      </c>
      <c r="B439" t="str">
        <f>"VIA INFERIORE GAMBONIA VICINO AL 7-"</f>
        <v>VIA INFERIORE GAMBONIA VICINO AL 7-</v>
      </c>
      <c r="C439" t="str">
        <f>"5"</f>
        <v>5</v>
      </c>
      <c r="D439">
        <v>35</v>
      </c>
      <c r="E439" t="str">
        <f>"2"</f>
        <v>2</v>
      </c>
      <c r="F439" t="str">
        <f t="shared" si="48"/>
        <v>0000</v>
      </c>
    </row>
    <row r="440" spans="1:6">
      <c r="A440" t="str">
        <f>"T541-1"</f>
        <v>T541-1</v>
      </c>
      <c r="B440" t="str">
        <f>"LUNGOBISAGNO ISTRIA VICINO AL 35-"</f>
        <v>LUNGOBISAGNO ISTRIA VICINO AL 35-</v>
      </c>
      <c r="C440" t="str">
        <f>"1"</f>
        <v>1</v>
      </c>
      <c r="D440">
        <v>10</v>
      </c>
      <c r="E440" t="str">
        <f>"376"</f>
        <v>376</v>
      </c>
      <c r="F440" t="str">
        <f t="shared" si="48"/>
        <v>0000</v>
      </c>
    </row>
    <row r="441" spans="1:6">
      <c r="A441" t="str">
        <f>"T542-2"</f>
        <v>T542-2</v>
      </c>
      <c r="B441" t="str">
        <f>"VIA SAN FELICE VICINO AL 19A-"</f>
        <v>VIA SAN FELICE VICINO AL 19A-</v>
      </c>
      <c r="C441" t="str">
        <f>"5"</f>
        <v>5</v>
      </c>
      <c r="D441">
        <v>9</v>
      </c>
      <c r="E441" t="str">
        <f>"1633"</f>
        <v>1633</v>
      </c>
      <c r="F441" t="str">
        <f t="shared" si="48"/>
        <v>0000</v>
      </c>
    </row>
    <row r="442" spans="1:6">
      <c r="A442" t="str">
        <f>"T542-3"</f>
        <v>T542-3</v>
      </c>
      <c r="B442" t="str">
        <f>"VIA SAN FELICE VICINO AL 19A-"</f>
        <v>VIA SAN FELICE VICINO AL 19A-</v>
      </c>
      <c r="C442" t="str">
        <f>"5"</f>
        <v>5</v>
      </c>
      <c r="D442">
        <v>9</v>
      </c>
      <c r="E442" t="str">
        <f>"1636"</f>
        <v>1636</v>
      </c>
      <c r="F442" t="str">
        <f t="shared" si="48"/>
        <v>0000</v>
      </c>
    </row>
    <row r="443" spans="1:6">
      <c r="A443" t="str">
        <f>"T542-4"</f>
        <v>T542-4</v>
      </c>
      <c r="B443" t="str">
        <f>"VIA SAN FELICE VICINO AL 19A-"</f>
        <v>VIA SAN FELICE VICINO AL 19A-</v>
      </c>
      <c r="C443" t="str">
        <f>"5"</f>
        <v>5</v>
      </c>
      <c r="D443">
        <v>9</v>
      </c>
      <c r="E443" t="str">
        <f>"1635"</f>
        <v>1635</v>
      </c>
      <c r="F443" t="str">
        <f t="shared" si="48"/>
        <v>0000</v>
      </c>
    </row>
    <row r="444" spans="1:6">
      <c r="A444" t="str">
        <f>"T543-1"</f>
        <v>T543-1</v>
      </c>
      <c r="B444" t="str">
        <f>"VIA BOBBIO VICINO AL 54-"</f>
        <v>VIA BOBBIO VICINO AL 54-</v>
      </c>
      <c r="C444" t="str">
        <f t="shared" ref="C444:C453" si="50">"1"</f>
        <v>1</v>
      </c>
      <c r="D444">
        <v>8</v>
      </c>
      <c r="E444" t="str">
        <f>"315"</f>
        <v>315</v>
      </c>
      <c r="F444" t="str">
        <f t="shared" si="48"/>
        <v>0000</v>
      </c>
    </row>
    <row r="445" spans="1:6">
      <c r="A445" t="str">
        <f>"T543-2"</f>
        <v>T543-2</v>
      </c>
      <c r="B445" t="str">
        <f>"VIA BOBBIO VICINO AL 54-"</f>
        <v>VIA BOBBIO VICINO AL 54-</v>
      </c>
      <c r="C445" t="str">
        <f t="shared" si="50"/>
        <v>1</v>
      </c>
      <c r="D445">
        <v>8</v>
      </c>
      <c r="E445" t="str">
        <f>"316"</f>
        <v>316</v>
      </c>
      <c r="F445" t="str">
        <f t="shared" si="48"/>
        <v>0000</v>
      </c>
    </row>
    <row r="446" spans="1:6">
      <c r="A446" t="str">
        <f>"T543-3"</f>
        <v>T543-3</v>
      </c>
      <c r="B446" t="str">
        <f>"VIA BOBBIO VICINO AL 54-"</f>
        <v>VIA BOBBIO VICINO AL 54-</v>
      </c>
      <c r="C446" t="str">
        <f t="shared" si="50"/>
        <v>1</v>
      </c>
      <c r="D446">
        <v>8</v>
      </c>
      <c r="E446" t="str">
        <f>"645"</f>
        <v>645</v>
      </c>
      <c r="F446" t="str">
        <f t="shared" si="48"/>
        <v>0000</v>
      </c>
    </row>
    <row r="447" spans="1:6">
      <c r="A447" t="str">
        <f>"T544-1"</f>
        <v>T544-1</v>
      </c>
      <c r="B447" t="str">
        <f>"VIA MONTE NERO VICINO AL 25-"</f>
        <v>VIA MONTE NERO VICINO AL 25-</v>
      </c>
      <c r="C447" t="str">
        <f t="shared" si="50"/>
        <v>1</v>
      </c>
      <c r="D447">
        <v>20</v>
      </c>
      <c r="E447" t="str">
        <f>"456"</f>
        <v>456</v>
      </c>
      <c r="F447" t="str">
        <f t="shared" si="48"/>
        <v>0000</v>
      </c>
    </row>
    <row r="448" spans="1:6">
      <c r="A448" t="str">
        <f>"T545-1"</f>
        <v>T545-1</v>
      </c>
      <c r="B448" t="str">
        <f t="shared" ref="B448:B453" si="51">"VIA SUPERIORE DEL VEILINO VICINO AL 12-"</f>
        <v>VIA SUPERIORE DEL VEILINO VICINO AL 12-</v>
      </c>
      <c r="C448" t="str">
        <f t="shared" si="50"/>
        <v>1</v>
      </c>
      <c r="D448">
        <v>8</v>
      </c>
      <c r="E448" t="str">
        <f>"279"</f>
        <v>279</v>
      </c>
      <c r="F448" t="str">
        <f t="shared" si="48"/>
        <v>0000</v>
      </c>
    </row>
    <row r="449" spans="1:6">
      <c r="A449" t="str">
        <f>"T545-2"</f>
        <v>T545-2</v>
      </c>
      <c r="B449" t="str">
        <f t="shared" si="51"/>
        <v>VIA SUPERIORE DEL VEILINO VICINO AL 12-</v>
      </c>
      <c r="C449" t="str">
        <f t="shared" si="50"/>
        <v>1</v>
      </c>
      <c r="D449">
        <v>8</v>
      </c>
      <c r="E449" t="str">
        <f>"373"</f>
        <v>373</v>
      </c>
      <c r="F449" t="str">
        <f t="shared" si="48"/>
        <v>0000</v>
      </c>
    </row>
    <row r="450" spans="1:6">
      <c r="A450" t="str">
        <f>"T545-3"</f>
        <v>T545-3</v>
      </c>
      <c r="B450" t="str">
        <f t="shared" si="51"/>
        <v>VIA SUPERIORE DEL VEILINO VICINO AL 12-</v>
      </c>
      <c r="C450" t="str">
        <f t="shared" si="50"/>
        <v>1</v>
      </c>
      <c r="D450">
        <v>8</v>
      </c>
      <c r="E450" t="str">
        <f>"637"</f>
        <v>637</v>
      </c>
      <c r="F450" t="str">
        <f t="shared" si="48"/>
        <v>0000</v>
      </c>
    </row>
    <row r="451" spans="1:6">
      <c r="A451" t="str">
        <f>"T545-4"</f>
        <v>T545-4</v>
      </c>
      <c r="B451" t="str">
        <f t="shared" si="51"/>
        <v>VIA SUPERIORE DEL VEILINO VICINO AL 12-</v>
      </c>
      <c r="C451" t="str">
        <f t="shared" si="50"/>
        <v>1</v>
      </c>
      <c r="D451">
        <v>8</v>
      </c>
      <c r="E451" t="str">
        <f>"99999"</f>
        <v>99999</v>
      </c>
      <c r="F451" t="str">
        <f t="shared" si="48"/>
        <v>0000</v>
      </c>
    </row>
    <row r="452" spans="1:6">
      <c r="A452" t="str">
        <f>"T546-1"</f>
        <v>T546-1</v>
      </c>
      <c r="B452" t="str">
        <f t="shared" si="51"/>
        <v>VIA SUPERIORE DEL VEILINO VICINO AL 12-</v>
      </c>
      <c r="C452" t="str">
        <f t="shared" si="50"/>
        <v>1</v>
      </c>
      <c r="D452">
        <v>8</v>
      </c>
      <c r="E452" t="str">
        <f>"638"</f>
        <v>638</v>
      </c>
      <c r="F452" t="str">
        <f t="shared" si="48"/>
        <v>0000</v>
      </c>
    </row>
    <row r="453" spans="1:6">
      <c r="A453" t="str">
        <f>"T546-2"</f>
        <v>T546-2</v>
      </c>
      <c r="B453" t="str">
        <f t="shared" si="51"/>
        <v>VIA SUPERIORE DEL VEILINO VICINO AL 12-</v>
      </c>
      <c r="C453" t="str">
        <f t="shared" si="50"/>
        <v>1</v>
      </c>
      <c r="D453">
        <v>8</v>
      </c>
      <c r="E453" t="str">
        <f>"99999"</f>
        <v>99999</v>
      </c>
      <c r="F453" t="str">
        <f t="shared" si="48"/>
        <v>0000</v>
      </c>
    </row>
    <row r="454" spans="1:6">
      <c r="A454" t="str">
        <f>"T547-1"</f>
        <v>T547-1</v>
      </c>
      <c r="B454" t="str">
        <f t="shared" ref="B454:B461" si="52">"VIA VAL TREBBIA VICINO AL 240-"</f>
        <v>VIA VAL TREBBIA VICINO AL 240-</v>
      </c>
      <c r="C454" t="str">
        <f t="shared" ref="C454:C465" si="53">"5"</f>
        <v>5</v>
      </c>
      <c r="D454">
        <v>42</v>
      </c>
      <c r="E454" t="str">
        <f>"30"</f>
        <v>30</v>
      </c>
      <c r="F454" t="str">
        <f t="shared" si="48"/>
        <v>0000</v>
      </c>
    </row>
    <row r="455" spans="1:6">
      <c r="A455" t="str">
        <f>"T547-2"</f>
        <v>T547-2</v>
      </c>
      <c r="B455" t="str">
        <f t="shared" si="52"/>
        <v>VIA VAL TREBBIA VICINO AL 240-</v>
      </c>
      <c r="C455" t="str">
        <f t="shared" si="53"/>
        <v>5</v>
      </c>
      <c r="D455">
        <v>42</v>
      </c>
      <c r="E455" t="str">
        <f>"31"</f>
        <v>31</v>
      </c>
      <c r="F455" t="str">
        <f t="shared" si="48"/>
        <v>0000</v>
      </c>
    </row>
    <row r="456" spans="1:6">
      <c r="A456" t="str">
        <f>"T547-3"</f>
        <v>T547-3</v>
      </c>
      <c r="B456" t="str">
        <f t="shared" si="52"/>
        <v>VIA VAL TREBBIA VICINO AL 240-</v>
      </c>
      <c r="C456" t="str">
        <f t="shared" si="53"/>
        <v>5</v>
      </c>
      <c r="D456">
        <v>42</v>
      </c>
      <c r="E456" t="str">
        <f>"32"</f>
        <v>32</v>
      </c>
      <c r="F456" t="str">
        <f t="shared" si="48"/>
        <v>0000</v>
      </c>
    </row>
    <row r="457" spans="1:6">
      <c r="A457" t="str">
        <f>"T547-4"</f>
        <v>T547-4</v>
      </c>
      <c r="B457" t="str">
        <f t="shared" si="52"/>
        <v>VIA VAL TREBBIA VICINO AL 240-</v>
      </c>
      <c r="C457" t="str">
        <f t="shared" si="53"/>
        <v>5</v>
      </c>
      <c r="D457">
        <v>42</v>
      </c>
      <c r="E457" t="str">
        <f>"48"</f>
        <v>48</v>
      </c>
      <c r="F457" t="str">
        <f t="shared" si="48"/>
        <v>0000</v>
      </c>
    </row>
    <row r="458" spans="1:6">
      <c r="A458" t="str">
        <f>"T547-5"</f>
        <v>T547-5</v>
      </c>
      <c r="B458" t="str">
        <f t="shared" si="52"/>
        <v>VIA VAL TREBBIA VICINO AL 240-</v>
      </c>
      <c r="C458" t="str">
        <f t="shared" si="53"/>
        <v>5</v>
      </c>
      <c r="D458">
        <v>42</v>
      </c>
      <c r="E458" t="str">
        <f>"53"</f>
        <v>53</v>
      </c>
      <c r="F458" t="str">
        <f t="shared" si="48"/>
        <v>0000</v>
      </c>
    </row>
    <row r="459" spans="1:6">
      <c r="A459" t="str">
        <f>"T547-6"</f>
        <v>T547-6</v>
      </c>
      <c r="B459" t="str">
        <f t="shared" si="52"/>
        <v>VIA VAL TREBBIA VICINO AL 240-</v>
      </c>
      <c r="C459" t="str">
        <f t="shared" si="53"/>
        <v>5</v>
      </c>
      <c r="D459">
        <v>42</v>
      </c>
      <c r="E459" t="str">
        <f>"1189"</f>
        <v>1189</v>
      </c>
      <c r="F459" t="str">
        <f t="shared" si="48"/>
        <v>0000</v>
      </c>
    </row>
    <row r="460" spans="1:6">
      <c r="A460" t="str">
        <f>"T547-7"</f>
        <v>T547-7</v>
      </c>
      <c r="B460" t="str">
        <f t="shared" si="52"/>
        <v>VIA VAL TREBBIA VICINO AL 240-</v>
      </c>
      <c r="C460" t="str">
        <f t="shared" si="53"/>
        <v>5</v>
      </c>
      <c r="D460">
        <v>42</v>
      </c>
      <c r="E460" t="str">
        <f>"640"</f>
        <v>640</v>
      </c>
      <c r="F460" t="str">
        <f t="shared" si="48"/>
        <v>0000</v>
      </c>
    </row>
    <row r="461" spans="1:6">
      <c r="A461" t="str">
        <f>"T547-8"</f>
        <v>T547-8</v>
      </c>
      <c r="B461" t="str">
        <f t="shared" si="52"/>
        <v>VIA VAL TREBBIA VICINO AL 240-</v>
      </c>
      <c r="C461" t="str">
        <f t="shared" si="53"/>
        <v>5</v>
      </c>
      <c r="D461">
        <v>42</v>
      </c>
      <c r="E461" t="str">
        <f>"1117"</f>
        <v>1117</v>
      </c>
      <c r="F461" t="str">
        <f t="shared" si="48"/>
        <v>0000</v>
      </c>
    </row>
    <row r="462" spans="1:6">
      <c r="A462" t="str">
        <f>"T548-1"</f>
        <v>T548-1</v>
      </c>
      <c r="B462" t="str">
        <f>"VIA VAL TREBBIA VICINO AL 299-"</f>
        <v>VIA VAL TREBBIA VICINO AL 299-</v>
      </c>
      <c r="C462" t="str">
        <f t="shared" si="53"/>
        <v>5</v>
      </c>
      <c r="D462">
        <v>42</v>
      </c>
      <c r="E462" t="str">
        <f>"53"</f>
        <v>53</v>
      </c>
      <c r="F462" t="str">
        <f t="shared" si="48"/>
        <v>0000</v>
      </c>
    </row>
    <row r="463" spans="1:6">
      <c r="A463" t="str">
        <f>"T548-2"</f>
        <v>T548-2</v>
      </c>
      <c r="B463" t="str">
        <f>"VIA VAL TREBBIA VICINO AL 299-"</f>
        <v>VIA VAL TREBBIA VICINO AL 299-</v>
      </c>
      <c r="C463" t="str">
        <f t="shared" si="53"/>
        <v>5</v>
      </c>
      <c r="D463">
        <v>42</v>
      </c>
      <c r="E463" t="str">
        <f>"543"</f>
        <v>543</v>
      </c>
      <c r="F463" t="str">
        <f t="shared" si="48"/>
        <v>0000</v>
      </c>
    </row>
    <row r="464" spans="1:6">
      <c r="A464" t="str">
        <f>"T548-3"</f>
        <v>T548-3</v>
      </c>
      <c r="B464" t="str">
        <f>"VIA VAL TREBBIA VICINO AL 299-"</f>
        <v>VIA VAL TREBBIA VICINO AL 299-</v>
      </c>
      <c r="C464" t="str">
        <f t="shared" si="53"/>
        <v>5</v>
      </c>
      <c r="D464">
        <v>42</v>
      </c>
      <c r="E464" t="str">
        <f>"640"</f>
        <v>640</v>
      </c>
      <c r="F464" t="str">
        <f t="shared" si="48"/>
        <v>0000</v>
      </c>
    </row>
    <row r="465" spans="1:6">
      <c r="A465" t="str">
        <f>"T549-2"</f>
        <v>T549-2</v>
      </c>
      <c r="B465" t="str">
        <f>"P.ZA CHIESA SANT EUSEBIO VICINO AL 10-"</f>
        <v>P.ZA CHIESA SANT EUSEBIO VICINO AL 10-</v>
      </c>
      <c r="C465" t="str">
        <f t="shared" si="53"/>
        <v>5</v>
      </c>
      <c r="D465">
        <v>42</v>
      </c>
      <c r="E465" t="str">
        <f>"640"</f>
        <v>640</v>
      </c>
      <c r="F465" t="str">
        <f t="shared" si="48"/>
        <v>0000</v>
      </c>
    </row>
    <row r="466" spans="1:6">
      <c r="A466" t="str">
        <f>"T550-1"</f>
        <v>T550-1</v>
      </c>
      <c r="B466" t="str">
        <f>"FOSSATO DI CICALA VICINO AL 7-"</f>
        <v>FOSSATO DI CICALA VICINO AL 7-</v>
      </c>
      <c r="C466" t="str">
        <f t="shared" ref="C466:C498" si="54">"1"</f>
        <v>1</v>
      </c>
      <c r="D466">
        <v>2</v>
      </c>
      <c r="E466" t="str">
        <f>"1484"</f>
        <v>1484</v>
      </c>
      <c r="F466" t="str">
        <f t="shared" si="48"/>
        <v>0000</v>
      </c>
    </row>
    <row r="467" spans="1:6">
      <c r="A467" t="str">
        <f>"T550-2"</f>
        <v>T550-2</v>
      </c>
      <c r="B467" t="str">
        <f>"FOSSATO DI CICALA VICINO AL 7-"</f>
        <v>FOSSATO DI CICALA VICINO AL 7-</v>
      </c>
      <c r="C467" t="str">
        <f t="shared" si="54"/>
        <v>1</v>
      </c>
      <c r="D467">
        <v>2</v>
      </c>
      <c r="E467" t="str">
        <f>"1485"</f>
        <v>1485</v>
      </c>
      <c r="F467" t="str">
        <f t="shared" si="48"/>
        <v>0000</v>
      </c>
    </row>
    <row r="468" spans="1:6">
      <c r="A468" t="str">
        <f>"T550-3"</f>
        <v>T550-3</v>
      </c>
      <c r="B468" t="str">
        <f>"FOSSATO DI CICALA VICINO AL 7-"</f>
        <v>FOSSATO DI CICALA VICINO AL 7-</v>
      </c>
      <c r="C468" t="str">
        <f t="shared" si="54"/>
        <v>1</v>
      </c>
      <c r="D468">
        <v>2</v>
      </c>
      <c r="E468" t="str">
        <f>"1486"</f>
        <v>1486</v>
      </c>
      <c r="F468" t="str">
        <f t="shared" si="48"/>
        <v>0000</v>
      </c>
    </row>
    <row r="469" spans="1:6">
      <c r="A469" t="str">
        <f>"T550-4"</f>
        <v>T550-4</v>
      </c>
      <c r="B469" t="str">
        <f>"FOSSATO DI CICALA VICINO AL 7-"</f>
        <v>FOSSATO DI CICALA VICINO AL 7-</v>
      </c>
      <c r="C469" t="str">
        <f t="shared" si="54"/>
        <v>1</v>
      </c>
      <c r="D469">
        <v>2</v>
      </c>
      <c r="E469" t="str">
        <f>"1487"</f>
        <v>1487</v>
      </c>
      <c r="F469" t="str">
        <f t="shared" si="48"/>
        <v>0000</v>
      </c>
    </row>
    <row r="470" spans="1:6">
      <c r="A470" t="str">
        <f>"T550-5"</f>
        <v>T550-5</v>
      </c>
      <c r="B470" t="str">
        <f>"FOSSATO DI CICALA VICINO AL 7-"</f>
        <v>FOSSATO DI CICALA VICINO AL 7-</v>
      </c>
      <c r="C470" t="str">
        <f t="shared" si="54"/>
        <v>1</v>
      </c>
      <c r="D470">
        <v>2</v>
      </c>
      <c r="E470" t="str">
        <f>"1488"</f>
        <v>1488</v>
      </c>
      <c r="F470" t="str">
        <f t="shared" si="48"/>
        <v>0000</v>
      </c>
    </row>
    <row r="471" spans="1:6">
      <c r="A471" t="str">
        <f>"T551-1"</f>
        <v>T551-1</v>
      </c>
      <c r="B471" t="str">
        <f t="shared" ref="B471:B481" si="55">"FOSSATO DI CICALA VICINO AL 11-"</f>
        <v>FOSSATO DI CICALA VICINO AL 11-</v>
      </c>
      <c r="C471" t="str">
        <f t="shared" si="54"/>
        <v>1</v>
      </c>
      <c r="D471">
        <v>2</v>
      </c>
      <c r="E471" t="str">
        <f>"317"</f>
        <v>317</v>
      </c>
      <c r="F471" t="str">
        <f t="shared" si="48"/>
        <v>0000</v>
      </c>
    </row>
    <row r="472" spans="1:6">
      <c r="A472" t="str">
        <f>"T551-2"</f>
        <v>T551-2</v>
      </c>
      <c r="B472" t="str">
        <f t="shared" si="55"/>
        <v>FOSSATO DI CICALA VICINO AL 11-</v>
      </c>
      <c r="C472" t="str">
        <f t="shared" si="54"/>
        <v>1</v>
      </c>
      <c r="D472">
        <v>2</v>
      </c>
      <c r="E472" t="str">
        <f>"318"</f>
        <v>318</v>
      </c>
      <c r="F472" t="str">
        <f t="shared" si="48"/>
        <v>0000</v>
      </c>
    </row>
    <row r="473" spans="1:6">
      <c r="A473" t="str">
        <f>"T551-3"</f>
        <v>T551-3</v>
      </c>
      <c r="B473" t="str">
        <f t="shared" si="55"/>
        <v>FOSSATO DI CICALA VICINO AL 11-</v>
      </c>
      <c r="C473" t="str">
        <f t="shared" si="54"/>
        <v>1</v>
      </c>
      <c r="D473">
        <v>2</v>
      </c>
      <c r="E473" t="str">
        <f>"319"</f>
        <v>319</v>
      </c>
      <c r="F473" t="str">
        <f t="shared" si="48"/>
        <v>0000</v>
      </c>
    </row>
    <row r="474" spans="1:6">
      <c r="A474" t="str">
        <f>"T551-4"</f>
        <v>T551-4</v>
      </c>
      <c r="B474" t="str">
        <f t="shared" si="55"/>
        <v>FOSSATO DI CICALA VICINO AL 11-</v>
      </c>
      <c r="C474" t="str">
        <f t="shared" si="54"/>
        <v>1</v>
      </c>
      <c r="D474">
        <v>2</v>
      </c>
      <c r="E474" t="str">
        <f>"331"</f>
        <v>331</v>
      </c>
      <c r="F474" t="str">
        <f t="shared" si="48"/>
        <v>0000</v>
      </c>
    </row>
    <row r="475" spans="1:6">
      <c r="A475" t="str">
        <f>"T551-5"</f>
        <v>T551-5</v>
      </c>
      <c r="B475" t="str">
        <f t="shared" si="55"/>
        <v>FOSSATO DI CICALA VICINO AL 11-</v>
      </c>
      <c r="C475" t="str">
        <f t="shared" si="54"/>
        <v>1</v>
      </c>
      <c r="D475">
        <v>2</v>
      </c>
      <c r="E475" t="str">
        <f>"392"</f>
        <v>392</v>
      </c>
      <c r="F475" t="str">
        <f t="shared" si="48"/>
        <v>0000</v>
      </c>
    </row>
    <row r="476" spans="1:6">
      <c r="A476" t="str">
        <f>"T551-6"</f>
        <v>T551-6</v>
      </c>
      <c r="B476" t="str">
        <f t="shared" si="55"/>
        <v>FOSSATO DI CICALA VICINO AL 11-</v>
      </c>
      <c r="C476" t="str">
        <f t="shared" si="54"/>
        <v>1</v>
      </c>
      <c r="D476">
        <v>2</v>
      </c>
      <c r="E476" t="str">
        <f>"686"</f>
        <v>686</v>
      </c>
      <c r="F476" t="str">
        <f t="shared" si="48"/>
        <v>0000</v>
      </c>
    </row>
    <row r="477" spans="1:6">
      <c r="A477" t="str">
        <f>"T551-7"</f>
        <v>T551-7</v>
      </c>
      <c r="B477" t="str">
        <f t="shared" si="55"/>
        <v>FOSSATO DI CICALA VICINO AL 11-</v>
      </c>
      <c r="C477" t="str">
        <f t="shared" si="54"/>
        <v>1</v>
      </c>
      <c r="D477">
        <v>2</v>
      </c>
      <c r="E477" t="str">
        <f>"687"</f>
        <v>687</v>
      </c>
      <c r="F477" t="str">
        <f t="shared" si="48"/>
        <v>0000</v>
      </c>
    </row>
    <row r="478" spans="1:6">
      <c r="A478" t="str">
        <f>"T551-8"</f>
        <v>T551-8</v>
      </c>
      <c r="B478" t="str">
        <f t="shared" si="55"/>
        <v>FOSSATO DI CICALA VICINO AL 11-</v>
      </c>
      <c r="C478" t="str">
        <f t="shared" si="54"/>
        <v>1</v>
      </c>
      <c r="D478">
        <v>2</v>
      </c>
      <c r="E478" t="str">
        <f>"950"</f>
        <v>950</v>
      </c>
      <c r="F478" t="str">
        <f t="shared" si="48"/>
        <v>0000</v>
      </c>
    </row>
    <row r="479" spans="1:6">
      <c r="A479" t="str">
        <f>"T551-9"</f>
        <v>T551-9</v>
      </c>
      <c r="B479" t="str">
        <f t="shared" si="55"/>
        <v>FOSSATO DI CICALA VICINO AL 11-</v>
      </c>
      <c r="C479" t="str">
        <f t="shared" si="54"/>
        <v>1</v>
      </c>
      <c r="D479">
        <v>2</v>
      </c>
      <c r="E479" t="str">
        <f>"337"</f>
        <v>337</v>
      </c>
      <c r="F479" t="str">
        <f t="shared" si="48"/>
        <v>0000</v>
      </c>
    </row>
    <row r="480" spans="1:6">
      <c r="A480" t="str">
        <f>"T551-10"</f>
        <v>T551-10</v>
      </c>
      <c r="B480" t="str">
        <f t="shared" si="55"/>
        <v>FOSSATO DI CICALA VICINO AL 11-</v>
      </c>
      <c r="C480" t="str">
        <f t="shared" si="54"/>
        <v>1</v>
      </c>
      <c r="D480">
        <v>2</v>
      </c>
      <c r="E480" t="str">
        <f>"338"</f>
        <v>338</v>
      </c>
      <c r="F480" t="str">
        <f t="shared" si="48"/>
        <v>0000</v>
      </c>
    </row>
    <row r="481" spans="1:6">
      <c r="A481" t="str">
        <f>"T551-11"</f>
        <v>T551-11</v>
      </c>
      <c r="B481" t="str">
        <f t="shared" si="55"/>
        <v>FOSSATO DI CICALA VICINO AL 11-</v>
      </c>
      <c r="C481" t="str">
        <f t="shared" si="54"/>
        <v>1</v>
      </c>
      <c r="D481">
        <v>2</v>
      </c>
      <c r="E481" t="str">
        <f>"688"</f>
        <v>688</v>
      </c>
      <c r="F481" t="str">
        <f t="shared" si="48"/>
        <v>0000</v>
      </c>
    </row>
    <row r="482" spans="1:6">
      <c r="A482" t="str">
        <f>"T552-1"</f>
        <v>T552-1</v>
      </c>
      <c r="B482" t="str">
        <f>"SALITA DELLA LIGGIA VICINO AL 2-"</f>
        <v>SALITA DELLA LIGGIA VICINO AL 2-</v>
      </c>
      <c r="C482" t="str">
        <f t="shared" si="54"/>
        <v>1</v>
      </c>
      <c r="D482">
        <v>2</v>
      </c>
      <c r="E482" t="str">
        <f>"393"</f>
        <v>393</v>
      </c>
      <c r="F482" t="str">
        <f t="shared" si="48"/>
        <v>0000</v>
      </c>
    </row>
    <row r="483" spans="1:6">
      <c r="A483" t="str">
        <f>"T552-2"</f>
        <v>T552-2</v>
      </c>
      <c r="B483" t="str">
        <f>"SALITA DELLA LIGGIA VICINO AL 2-"</f>
        <v>SALITA DELLA LIGGIA VICINO AL 2-</v>
      </c>
      <c r="C483" t="str">
        <f t="shared" si="54"/>
        <v>1</v>
      </c>
      <c r="D483">
        <v>2</v>
      </c>
      <c r="E483" t="str">
        <f>"1486"</f>
        <v>1486</v>
      </c>
      <c r="F483" t="str">
        <f t="shared" si="48"/>
        <v>0000</v>
      </c>
    </row>
    <row r="484" spans="1:6">
      <c r="A484" t="str">
        <f>"T561-1"</f>
        <v>T561-1</v>
      </c>
      <c r="B484" t="str">
        <f>"VIA ANTONIO BURLANDO VICINO AL 10-"</f>
        <v>VIA ANTONIO BURLANDO VICINO AL 10-</v>
      </c>
      <c r="C484" t="str">
        <f t="shared" si="54"/>
        <v>1</v>
      </c>
      <c r="D484">
        <v>37</v>
      </c>
      <c r="E484" t="str">
        <f>"111"</f>
        <v>111</v>
      </c>
      <c r="F484" t="str">
        <f t="shared" si="48"/>
        <v>0000</v>
      </c>
    </row>
    <row r="485" spans="1:6">
      <c r="A485" t="str">
        <f>"T562-1"</f>
        <v>T562-1</v>
      </c>
      <c r="B485" t="str">
        <f>"VIA ANTONIO BURLANDO VICINO AL 10-"</f>
        <v>VIA ANTONIO BURLANDO VICINO AL 10-</v>
      </c>
      <c r="C485" t="str">
        <f t="shared" si="54"/>
        <v>1</v>
      </c>
      <c r="D485">
        <v>37</v>
      </c>
      <c r="E485" t="str">
        <f>"623"</f>
        <v>623</v>
      </c>
      <c r="F485" t="str">
        <f t="shared" si="48"/>
        <v>0000</v>
      </c>
    </row>
    <row r="486" spans="1:6">
      <c r="A486" t="str">
        <f>"T562-2"</f>
        <v>T562-2</v>
      </c>
      <c r="B486" t="str">
        <f>"VIA ANTONIO BURLANDO VICINO AL 10-"</f>
        <v>VIA ANTONIO BURLANDO VICINO AL 10-</v>
      </c>
      <c r="C486" t="str">
        <f t="shared" si="54"/>
        <v>1</v>
      </c>
      <c r="D486">
        <v>37</v>
      </c>
      <c r="E486" t="str">
        <f>"411"</f>
        <v>411</v>
      </c>
      <c r="F486" t="str">
        <f t="shared" si="48"/>
        <v>0000</v>
      </c>
    </row>
    <row r="487" spans="1:6">
      <c r="A487" t="str">
        <f>"T562-3"</f>
        <v>T562-3</v>
      </c>
      <c r="B487" t="str">
        <f>"VIA ANTONIO BURLANDO VICINO AL 10-"</f>
        <v>VIA ANTONIO BURLANDO VICINO AL 10-</v>
      </c>
      <c r="C487" t="str">
        <f t="shared" si="54"/>
        <v>1</v>
      </c>
      <c r="D487">
        <v>37</v>
      </c>
      <c r="E487" t="str">
        <f>"111"</f>
        <v>111</v>
      </c>
      <c r="F487" t="str">
        <f t="shared" si="48"/>
        <v>0000</v>
      </c>
    </row>
    <row r="488" spans="1:6">
      <c r="A488" t="str">
        <f>"T563-1"</f>
        <v>T563-1</v>
      </c>
      <c r="B488" t="str">
        <f>"VIA ANTONIO BURLANDO VICINO AL 5B-"</f>
        <v>VIA ANTONIO BURLANDO VICINO AL 5B-</v>
      </c>
      <c r="C488" t="str">
        <f t="shared" si="54"/>
        <v>1</v>
      </c>
      <c r="D488">
        <v>37</v>
      </c>
      <c r="E488" t="str">
        <f>"118"</f>
        <v>118</v>
      </c>
      <c r="F488" t="str">
        <f t="shared" si="48"/>
        <v>0000</v>
      </c>
    </row>
    <row r="489" spans="1:6">
      <c r="A489" t="str">
        <f>"T563-2"</f>
        <v>T563-2</v>
      </c>
      <c r="B489" t="str">
        <f>"VIA ANTONIO BURLANDO VICINO AL 5B-"</f>
        <v>VIA ANTONIO BURLANDO VICINO AL 5B-</v>
      </c>
      <c r="C489" t="str">
        <f t="shared" si="54"/>
        <v>1</v>
      </c>
      <c r="D489">
        <v>37</v>
      </c>
      <c r="E489" t="str">
        <f>"352"</f>
        <v>352</v>
      </c>
      <c r="F489" t="str">
        <f t="shared" ref="F489:F552" si="56">"0000"</f>
        <v>0000</v>
      </c>
    </row>
    <row r="490" spans="1:6">
      <c r="A490" t="str">
        <f>"T563-3"</f>
        <v>T563-3</v>
      </c>
      <c r="B490" t="str">
        <f>"VIA ANTONIO BURLANDO VICINO AL 5B-"</f>
        <v>VIA ANTONIO BURLANDO VICINO AL 5B-</v>
      </c>
      <c r="C490" t="str">
        <f t="shared" si="54"/>
        <v>1</v>
      </c>
      <c r="D490">
        <v>37</v>
      </c>
      <c r="E490" t="str">
        <f>"353"</f>
        <v>353</v>
      </c>
      <c r="F490" t="str">
        <f t="shared" si="56"/>
        <v>0000</v>
      </c>
    </row>
    <row r="491" spans="1:6">
      <c r="A491" t="str">
        <f>"T563-4"</f>
        <v>T563-4</v>
      </c>
      <c r="B491" t="str">
        <f>"VIA ANTONIO BURLANDO VICINO AL 5B-"</f>
        <v>VIA ANTONIO BURLANDO VICINO AL 5B-</v>
      </c>
      <c r="C491" t="str">
        <f t="shared" si="54"/>
        <v>1</v>
      </c>
      <c r="D491">
        <v>37</v>
      </c>
      <c r="E491" t="str">
        <f>"161"</f>
        <v>161</v>
      </c>
      <c r="F491" t="str">
        <f t="shared" si="56"/>
        <v>0000</v>
      </c>
    </row>
    <row r="492" spans="1:6">
      <c r="A492" t="str">
        <f>"T563-5"</f>
        <v>T563-5</v>
      </c>
      <c r="B492" t="str">
        <f>"VIA ANTONIO BURLANDO VICINO AL 5B-"</f>
        <v>VIA ANTONIO BURLANDO VICINO AL 5B-</v>
      </c>
      <c r="C492" t="str">
        <f t="shared" si="54"/>
        <v>1</v>
      </c>
      <c r="D492">
        <v>37</v>
      </c>
      <c r="E492" t="str">
        <f>"162"</f>
        <v>162</v>
      </c>
      <c r="F492" t="str">
        <f t="shared" si="56"/>
        <v>0000</v>
      </c>
    </row>
    <row r="493" spans="1:6">
      <c r="A493" t="str">
        <f>"T564-1"</f>
        <v>T564-1</v>
      </c>
      <c r="B493" t="str">
        <f>"VIA ANTONIO BURLANDO VICINO AL 16-"</f>
        <v>VIA ANTONIO BURLANDO VICINO AL 16-</v>
      </c>
      <c r="C493" t="str">
        <f t="shared" si="54"/>
        <v>1</v>
      </c>
      <c r="D493">
        <v>37</v>
      </c>
      <c r="E493" t="str">
        <f>"36"</f>
        <v>36</v>
      </c>
      <c r="F493" t="str">
        <f t="shared" si="56"/>
        <v>0000</v>
      </c>
    </row>
    <row r="494" spans="1:6">
      <c r="A494" t="str">
        <f>"T566-1"</f>
        <v>T566-1</v>
      </c>
      <c r="B494" t="str">
        <f>"SALITA DELLA CHIAPPA VICINO AL 21-"</f>
        <v>SALITA DELLA CHIAPPA VICINO AL 21-</v>
      </c>
      <c r="C494" t="str">
        <f t="shared" si="54"/>
        <v>1</v>
      </c>
      <c r="D494">
        <v>4</v>
      </c>
      <c r="E494" t="str">
        <f>"494"</f>
        <v>494</v>
      </c>
      <c r="F494" t="str">
        <f t="shared" si="56"/>
        <v>0000</v>
      </c>
    </row>
    <row r="495" spans="1:6">
      <c r="A495" t="str">
        <f>"T566-2"</f>
        <v>T566-2</v>
      </c>
      <c r="B495" t="str">
        <f>"SALITA DELLA CHIAPPA VICINO AL 21-"</f>
        <v>SALITA DELLA CHIAPPA VICINO AL 21-</v>
      </c>
      <c r="C495" t="str">
        <f t="shared" si="54"/>
        <v>1</v>
      </c>
      <c r="D495">
        <v>5</v>
      </c>
      <c r="E495" t="str">
        <f>"181"</f>
        <v>181</v>
      </c>
      <c r="F495" t="str">
        <f t="shared" si="56"/>
        <v>0000</v>
      </c>
    </row>
    <row r="496" spans="1:6">
      <c r="A496" t="str">
        <f>"T566-3"</f>
        <v>T566-3</v>
      </c>
      <c r="B496" t="str">
        <f>"SALITA DELLA CHIAPPA VICINO AL 21-"</f>
        <v>SALITA DELLA CHIAPPA VICINO AL 21-</v>
      </c>
      <c r="C496" t="str">
        <f t="shared" si="54"/>
        <v>1</v>
      </c>
      <c r="D496">
        <v>5</v>
      </c>
      <c r="E496" t="str">
        <f>"182"</f>
        <v>182</v>
      </c>
      <c r="F496" t="str">
        <f t="shared" si="56"/>
        <v>0000</v>
      </c>
    </row>
    <row r="497" spans="1:6">
      <c r="A497" t="str">
        <f>"T566-4"</f>
        <v>T566-4</v>
      </c>
      <c r="B497" t="str">
        <f>"SALITA DELLA CHIAPPA VICINO AL 21-"</f>
        <v>SALITA DELLA CHIAPPA VICINO AL 21-</v>
      </c>
      <c r="C497" t="str">
        <f t="shared" si="54"/>
        <v>1</v>
      </c>
      <c r="D497">
        <v>5</v>
      </c>
      <c r="E497" t="str">
        <f>"184"</f>
        <v>184</v>
      </c>
      <c r="F497" t="str">
        <f t="shared" si="56"/>
        <v>0000</v>
      </c>
    </row>
    <row r="498" spans="1:6">
      <c r="A498" t="str">
        <f>"T566-5"</f>
        <v>T566-5</v>
      </c>
      <c r="B498" t="str">
        <f>"SALITA DELLA CHIAPPA VICINO AL 21-"</f>
        <v>SALITA DELLA CHIAPPA VICINO AL 21-</v>
      </c>
      <c r="C498" t="str">
        <f t="shared" si="54"/>
        <v>1</v>
      </c>
      <c r="D498">
        <v>4</v>
      </c>
      <c r="E498" t="str">
        <f>"493"</f>
        <v>493</v>
      </c>
      <c r="F498" t="str">
        <f t="shared" si="56"/>
        <v>0000</v>
      </c>
    </row>
    <row r="499" spans="1:6">
      <c r="A499" t="str">
        <f>"T567-1"</f>
        <v>T567-1</v>
      </c>
      <c r="B499" t="str">
        <f t="shared" ref="B499:B506" si="57">"SALITA RUINA VICINO AL 5-"</f>
        <v>SALITA RUINA VICINO AL 5-</v>
      </c>
      <c r="C499" t="str">
        <f t="shared" ref="C499:C506" si="58">"5"</f>
        <v>5</v>
      </c>
      <c r="D499">
        <v>36</v>
      </c>
      <c r="E499" t="str">
        <f>"128"</f>
        <v>128</v>
      </c>
      <c r="F499" t="str">
        <f t="shared" si="56"/>
        <v>0000</v>
      </c>
    </row>
    <row r="500" spans="1:6">
      <c r="A500" t="str">
        <f>"T567-2"</f>
        <v>T567-2</v>
      </c>
      <c r="B500" t="str">
        <f t="shared" si="57"/>
        <v>SALITA RUINA VICINO AL 5-</v>
      </c>
      <c r="C500" t="str">
        <f t="shared" si="58"/>
        <v>5</v>
      </c>
      <c r="D500">
        <v>36</v>
      </c>
      <c r="E500" t="str">
        <f>"142"</f>
        <v>142</v>
      </c>
      <c r="F500" t="str">
        <f t="shared" si="56"/>
        <v>0000</v>
      </c>
    </row>
    <row r="501" spans="1:6">
      <c r="A501" t="str">
        <f>"T567-3"</f>
        <v>T567-3</v>
      </c>
      <c r="B501" t="str">
        <f t="shared" si="57"/>
        <v>SALITA RUINA VICINO AL 5-</v>
      </c>
      <c r="C501" t="str">
        <f t="shared" si="58"/>
        <v>5</v>
      </c>
      <c r="D501">
        <v>36</v>
      </c>
      <c r="E501" t="str">
        <f>"143"</f>
        <v>143</v>
      </c>
      <c r="F501" t="str">
        <f t="shared" si="56"/>
        <v>0000</v>
      </c>
    </row>
    <row r="502" spans="1:6">
      <c r="A502" t="str">
        <f>"T567-4"</f>
        <v>T567-4</v>
      </c>
      <c r="B502" t="str">
        <f t="shared" si="57"/>
        <v>SALITA RUINA VICINO AL 5-</v>
      </c>
      <c r="C502" t="str">
        <f t="shared" si="58"/>
        <v>5</v>
      </c>
      <c r="D502">
        <v>36</v>
      </c>
      <c r="E502" t="str">
        <f>"147"</f>
        <v>147</v>
      </c>
      <c r="F502" t="str">
        <f t="shared" si="56"/>
        <v>0000</v>
      </c>
    </row>
    <row r="503" spans="1:6">
      <c r="A503" t="str">
        <f>"T567-5"</f>
        <v>T567-5</v>
      </c>
      <c r="B503" t="str">
        <f t="shared" si="57"/>
        <v>SALITA RUINA VICINO AL 5-</v>
      </c>
      <c r="C503" t="str">
        <f t="shared" si="58"/>
        <v>5</v>
      </c>
      <c r="D503">
        <v>36</v>
      </c>
      <c r="E503" t="str">
        <f>"311"</f>
        <v>311</v>
      </c>
      <c r="F503" t="str">
        <f t="shared" si="56"/>
        <v>0000</v>
      </c>
    </row>
    <row r="504" spans="1:6">
      <c r="A504" t="str">
        <f>"T567-6"</f>
        <v>T567-6</v>
      </c>
      <c r="B504" t="str">
        <f t="shared" si="57"/>
        <v>SALITA RUINA VICINO AL 5-</v>
      </c>
      <c r="C504" t="str">
        <f t="shared" si="58"/>
        <v>5</v>
      </c>
      <c r="D504">
        <v>36</v>
      </c>
      <c r="E504" t="str">
        <f>"137"</f>
        <v>137</v>
      </c>
      <c r="F504" t="str">
        <f t="shared" si="56"/>
        <v>0000</v>
      </c>
    </row>
    <row r="505" spans="1:6">
      <c r="A505" t="str">
        <f>"T567-7"</f>
        <v>T567-7</v>
      </c>
      <c r="B505" t="str">
        <f t="shared" si="57"/>
        <v>SALITA RUINA VICINO AL 5-</v>
      </c>
      <c r="C505" t="str">
        <f t="shared" si="58"/>
        <v>5</v>
      </c>
      <c r="D505">
        <v>36</v>
      </c>
      <c r="E505" t="str">
        <f>"138"</f>
        <v>138</v>
      </c>
      <c r="F505" t="str">
        <f t="shared" si="56"/>
        <v>0000</v>
      </c>
    </row>
    <row r="506" spans="1:6">
      <c r="A506" t="str">
        <f>"T567-8"</f>
        <v>T567-8</v>
      </c>
      <c r="B506" t="str">
        <f t="shared" si="57"/>
        <v>SALITA RUINA VICINO AL 5-</v>
      </c>
      <c r="C506" t="str">
        <f t="shared" si="58"/>
        <v>5</v>
      </c>
      <c r="D506">
        <v>36</v>
      </c>
      <c r="E506" t="str">
        <f>"309"</f>
        <v>309</v>
      </c>
      <c r="F506" t="str">
        <f t="shared" si="56"/>
        <v>0000</v>
      </c>
    </row>
    <row r="507" spans="1:6">
      <c r="A507" t="str">
        <f>"T568-1"</f>
        <v>T568-1</v>
      </c>
      <c r="B507" t="str">
        <f t="shared" ref="B507:B537" si="59">"SALITA SANT ANTONINO VICINO AL 26A-"</f>
        <v>SALITA SANT ANTONINO VICINO AL 26A-</v>
      </c>
      <c r="C507" t="str">
        <f t="shared" ref="C507:C538" si="60">"1"</f>
        <v>1</v>
      </c>
      <c r="D507">
        <v>8</v>
      </c>
      <c r="E507" t="str">
        <f>"618"</f>
        <v>618</v>
      </c>
      <c r="F507" t="str">
        <f t="shared" si="56"/>
        <v>0000</v>
      </c>
    </row>
    <row r="508" spans="1:6">
      <c r="A508" t="str">
        <f>"T568-2"</f>
        <v>T568-2</v>
      </c>
      <c r="B508" t="str">
        <f t="shared" si="59"/>
        <v>SALITA SANT ANTONINO VICINO AL 26A-</v>
      </c>
      <c r="C508" t="str">
        <f t="shared" si="60"/>
        <v>1</v>
      </c>
      <c r="D508">
        <v>8</v>
      </c>
      <c r="E508" t="str">
        <f>"624"</f>
        <v>624</v>
      </c>
      <c r="F508" t="str">
        <f t="shared" si="56"/>
        <v>0000</v>
      </c>
    </row>
    <row r="509" spans="1:6">
      <c r="A509" t="str">
        <f>"T568-3"</f>
        <v>T568-3</v>
      </c>
      <c r="B509" t="str">
        <f t="shared" si="59"/>
        <v>SALITA SANT ANTONINO VICINO AL 26A-</v>
      </c>
      <c r="C509" t="str">
        <f t="shared" si="60"/>
        <v>1</v>
      </c>
      <c r="D509">
        <v>8</v>
      </c>
      <c r="E509" t="str">
        <f>"625"</f>
        <v>625</v>
      </c>
      <c r="F509" t="str">
        <f t="shared" si="56"/>
        <v>0000</v>
      </c>
    </row>
    <row r="510" spans="1:6">
      <c r="A510" t="str">
        <f>"T568-4"</f>
        <v>T568-4</v>
      </c>
      <c r="B510" t="str">
        <f t="shared" si="59"/>
        <v>SALITA SANT ANTONINO VICINO AL 26A-</v>
      </c>
      <c r="C510" t="str">
        <f t="shared" si="60"/>
        <v>1</v>
      </c>
      <c r="D510">
        <v>8</v>
      </c>
      <c r="E510" t="str">
        <f>"629"</f>
        <v>629</v>
      </c>
      <c r="F510" t="str">
        <f t="shared" si="56"/>
        <v>0000</v>
      </c>
    </row>
    <row r="511" spans="1:6">
      <c r="A511" t="str">
        <f>"T568-5"</f>
        <v>T568-5</v>
      </c>
      <c r="B511" t="str">
        <f t="shared" si="59"/>
        <v>SALITA SANT ANTONINO VICINO AL 26A-</v>
      </c>
      <c r="C511" t="str">
        <f t="shared" si="60"/>
        <v>1</v>
      </c>
      <c r="D511">
        <v>8</v>
      </c>
      <c r="E511" t="str">
        <f>"635"</f>
        <v>635</v>
      </c>
      <c r="F511" t="str">
        <f t="shared" si="56"/>
        <v>0000</v>
      </c>
    </row>
    <row r="512" spans="1:6">
      <c r="A512" t="str">
        <f>"T568-6"</f>
        <v>T568-6</v>
      </c>
      <c r="B512" t="str">
        <f t="shared" si="59"/>
        <v>SALITA SANT ANTONINO VICINO AL 26A-</v>
      </c>
      <c r="C512" t="str">
        <f t="shared" si="60"/>
        <v>1</v>
      </c>
      <c r="D512">
        <v>8</v>
      </c>
      <c r="E512" t="str">
        <f>"638"</f>
        <v>638</v>
      </c>
      <c r="F512" t="str">
        <f t="shared" si="56"/>
        <v>0000</v>
      </c>
    </row>
    <row r="513" spans="1:6">
      <c r="A513" t="str">
        <f>"T568-7"</f>
        <v>T568-7</v>
      </c>
      <c r="B513" t="str">
        <f t="shared" si="59"/>
        <v>SALITA SANT ANTONINO VICINO AL 26A-</v>
      </c>
      <c r="C513" t="str">
        <f t="shared" si="60"/>
        <v>1</v>
      </c>
      <c r="D513">
        <v>8</v>
      </c>
      <c r="E513" t="str">
        <f>"637"</f>
        <v>637</v>
      </c>
      <c r="F513" t="str">
        <f t="shared" si="56"/>
        <v>0000</v>
      </c>
    </row>
    <row r="514" spans="1:6">
      <c r="A514" t="str">
        <f>"T569-1"</f>
        <v>T569-1</v>
      </c>
      <c r="B514" t="str">
        <f t="shared" si="59"/>
        <v>SALITA SANT ANTONINO VICINO AL 26A-</v>
      </c>
      <c r="C514" t="str">
        <f t="shared" si="60"/>
        <v>1</v>
      </c>
      <c r="D514">
        <v>8</v>
      </c>
      <c r="E514" t="str">
        <f>"260"</f>
        <v>260</v>
      </c>
      <c r="F514" t="str">
        <f t="shared" si="56"/>
        <v>0000</v>
      </c>
    </row>
    <row r="515" spans="1:6">
      <c r="A515" t="str">
        <f>"T569-2"</f>
        <v>T569-2</v>
      </c>
      <c r="B515" t="str">
        <f t="shared" si="59"/>
        <v>SALITA SANT ANTONINO VICINO AL 26A-</v>
      </c>
      <c r="C515" t="str">
        <f t="shared" si="60"/>
        <v>1</v>
      </c>
      <c r="D515">
        <v>8</v>
      </c>
      <c r="E515" t="str">
        <f>"619"</f>
        <v>619</v>
      </c>
      <c r="F515" t="str">
        <f t="shared" si="56"/>
        <v>0000</v>
      </c>
    </row>
    <row r="516" spans="1:6">
      <c r="A516" t="str">
        <f>"T569-3"</f>
        <v>T569-3</v>
      </c>
      <c r="B516" t="str">
        <f t="shared" si="59"/>
        <v>SALITA SANT ANTONINO VICINO AL 26A-</v>
      </c>
      <c r="C516" t="str">
        <f t="shared" si="60"/>
        <v>1</v>
      </c>
      <c r="D516">
        <v>8</v>
      </c>
      <c r="E516" t="str">
        <f>"620"</f>
        <v>620</v>
      </c>
      <c r="F516" t="str">
        <f t="shared" si="56"/>
        <v>0000</v>
      </c>
    </row>
    <row r="517" spans="1:6">
      <c r="A517" t="str">
        <f>"T569-4"</f>
        <v>T569-4</v>
      </c>
      <c r="B517" t="str">
        <f t="shared" si="59"/>
        <v>SALITA SANT ANTONINO VICINO AL 26A-</v>
      </c>
      <c r="C517" t="str">
        <f t="shared" si="60"/>
        <v>1</v>
      </c>
      <c r="D517">
        <v>8</v>
      </c>
      <c r="E517" t="str">
        <f>"263"</f>
        <v>263</v>
      </c>
      <c r="F517" t="str">
        <f t="shared" si="56"/>
        <v>0000</v>
      </c>
    </row>
    <row r="518" spans="1:6">
      <c r="A518" t="str">
        <f>"T569-5"</f>
        <v>T569-5</v>
      </c>
      <c r="B518" t="str">
        <f t="shared" si="59"/>
        <v>SALITA SANT ANTONINO VICINO AL 26A-</v>
      </c>
      <c r="C518" t="str">
        <f t="shared" si="60"/>
        <v>1</v>
      </c>
      <c r="D518">
        <v>8</v>
      </c>
      <c r="E518" t="str">
        <f>"623"</f>
        <v>623</v>
      </c>
      <c r="F518" t="str">
        <f t="shared" si="56"/>
        <v>0000</v>
      </c>
    </row>
    <row r="519" spans="1:6">
      <c r="A519" t="str">
        <f>"T569-6"</f>
        <v>T569-6</v>
      </c>
      <c r="B519" t="str">
        <f t="shared" si="59"/>
        <v>SALITA SANT ANTONINO VICINO AL 26A-</v>
      </c>
      <c r="C519" t="str">
        <f t="shared" si="60"/>
        <v>1</v>
      </c>
      <c r="D519">
        <v>8</v>
      </c>
      <c r="E519" t="str">
        <f>"265"</f>
        <v>265</v>
      </c>
      <c r="F519" t="str">
        <f t="shared" si="56"/>
        <v>0000</v>
      </c>
    </row>
    <row r="520" spans="1:6">
      <c r="A520" t="str">
        <f>"T569-7"</f>
        <v>T569-7</v>
      </c>
      <c r="B520" t="str">
        <f t="shared" si="59"/>
        <v>SALITA SANT ANTONINO VICINO AL 26A-</v>
      </c>
      <c r="C520" t="str">
        <f t="shared" si="60"/>
        <v>1</v>
      </c>
      <c r="D520">
        <v>8</v>
      </c>
      <c r="E520" t="str">
        <f>"626"</f>
        <v>626</v>
      </c>
      <c r="F520" t="str">
        <f t="shared" si="56"/>
        <v>0000</v>
      </c>
    </row>
    <row r="521" spans="1:6">
      <c r="A521" t="str">
        <f>"T569-8"</f>
        <v>T569-8</v>
      </c>
      <c r="B521" t="str">
        <f t="shared" si="59"/>
        <v>SALITA SANT ANTONINO VICINO AL 26A-</v>
      </c>
      <c r="C521" t="str">
        <f t="shared" si="60"/>
        <v>1</v>
      </c>
      <c r="D521">
        <v>8</v>
      </c>
      <c r="E521" t="str">
        <f>"631"</f>
        <v>631</v>
      </c>
      <c r="F521" t="str">
        <f t="shared" si="56"/>
        <v>0000</v>
      </c>
    </row>
    <row r="522" spans="1:6">
      <c r="A522" t="str">
        <f>"T569-9"</f>
        <v>T569-9</v>
      </c>
      <c r="B522" t="str">
        <f t="shared" si="59"/>
        <v>SALITA SANT ANTONINO VICINO AL 26A-</v>
      </c>
      <c r="C522" t="str">
        <f t="shared" si="60"/>
        <v>1</v>
      </c>
      <c r="D522">
        <v>8</v>
      </c>
      <c r="E522" t="str">
        <f>"331"</f>
        <v>331</v>
      </c>
      <c r="F522" t="str">
        <f t="shared" si="56"/>
        <v>0000</v>
      </c>
    </row>
    <row r="523" spans="1:6">
      <c r="A523" t="str">
        <f>"T569-10"</f>
        <v>T569-10</v>
      </c>
      <c r="B523" t="str">
        <f t="shared" si="59"/>
        <v>SALITA SANT ANTONINO VICINO AL 26A-</v>
      </c>
      <c r="C523" t="str">
        <f t="shared" si="60"/>
        <v>1</v>
      </c>
      <c r="D523">
        <v>8</v>
      </c>
      <c r="E523" t="str">
        <f>"630"</f>
        <v>630</v>
      </c>
      <c r="F523" t="str">
        <f t="shared" si="56"/>
        <v>0000</v>
      </c>
    </row>
    <row r="524" spans="1:6">
      <c r="A524" t="str">
        <f>"T569-11"</f>
        <v>T569-11</v>
      </c>
      <c r="B524" t="str">
        <f t="shared" si="59"/>
        <v>SALITA SANT ANTONINO VICINO AL 26A-</v>
      </c>
      <c r="C524" t="str">
        <f t="shared" si="60"/>
        <v>1</v>
      </c>
      <c r="D524">
        <v>8</v>
      </c>
      <c r="E524" t="str">
        <f>"627"</f>
        <v>627</v>
      </c>
      <c r="F524" t="str">
        <f t="shared" si="56"/>
        <v>0000</v>
      </c>
    </row>
    <row r="525" spans="1:6">
      <c r="A525" t="str">
        <f>"T569-12"</f>
        <v>T569-12</v>
      </c>
      <c r="B525" t="str">
        <f t="shared" si="59"/>
        <v>SALITA SANT ANTONINO VICINO AL 26A-</v>
      </c>
      <c r="C525" t="str">
        <f t="shared" si="60"/>
        <v>1</v>
      </c>
      <c r="D525">
        <v>8</v>
      </c>
      <c r="E525" t="str">
        <f>"291"</f>
        <v>291</v>
      </c>
      <c r="F525" t="str">
        <f t="shared" si="56"/>
        <v>0000</v>
      </c>
    </row>
    <row r="526" spans="1:6">
      <c r="A526" t="str">
        <f>"T569-13"</f>
        <v>T569-13</v>
      </c>
      <c r="B526" t="str">
        <f t="shared" si="59"/>
        <v>SALITA SANT ANTONINO VICINO AL 26A-</v>
      </c>
      <c r="C526" t="str">
        <f t="shared" si="60"/>
        <v>1</v>
      </c>
      <c r="D526">
        <v>8</v>
      </c>
      <c r="E526" t="str">
        <f>"632"</f>
        <v>632</v>
      </c>
      <c r="F526" t="str">
        <f t="shared" si="56"/>
        <v>0000</v>
      </c>
    </row>
    <row r="527" spans="1:6">
      <c r="A527" t="str">
        <f>"T569-14"</f>
        <v>T569-14</v>
      </c>
      <c r="B527" t="str">
        <f t="shared" si="59"/>
        <v>SALITA SANT ANTONINO VICINO AL 26A-</v>
      </c>
      <c r="C527" t="str">
        <f t="shared" si="60"/>
        <v>1</v>
      </c>
      <c r="D527">
        <v>8</v>
      </c>
      <c r="E527" t="str">
        <f>"254"</f>
        <v>254</v>
      </c>
      <c r="F527" t="str">
        <f t="shared" si="56"/>
        <v>0000</v>
      </c>
    </row>
    <row r="528" spans="1:6">
      <c r="A528" t="str">
        <f>"T569-15"</f>
        <v>T569-15</v>
      </c>
      <c r="B528" t="str">
        <f t="shared" si="59"/>
        <v>SALITA SANT ANTONINO VICINO AL 26A-</v>
      </c>
      <c r="C528" t="str">
        <f t="shared" si="60"/>
        <v>1</v>
      </c>
      <c r="D528">
        <v>8</v>
      </c>
      <c r="E528" t="str">
        <f>"625"</f>
        <v>625</v>
      </c>
      <c r="F528" t="str">
        <f t="shared" si="56"/>
        <v>0000</v>
      </c>
    </row>
    <row r="529" spans="1:6">
      <c r="A529" t="str">
        <f>"T570-1"</f>
        <v>T570-1</v>
      </c>
      <c r="B529" t="str">
        <f t="shared" si="59"/>
        <v>SALITA SANT ANTONINO VICINO AL 26A-</v>
      </c>
      <c r="C529" t="str">
        <f t="shared" si="60"/>
        <v>1</v>
      </c>
      <c r="D529">
        <v>8</v>
      </c>
      <c r="E529" t="str">
        <f>"620"</f>
        <v>620</v>
      </c>
      <c r="F529" t="str">
        <f t="shared" si="56"/>
        <v>0000</v>
      </c>
    </row>
    <row r="530" spans="1:6">
      <c r="A530" t="str">
        <f>"T570-2"</f>
        <v>T570-2</v>
      </c>
      <c r="B530" t="str">
        <f t="shared" si="59"/>
        <v>SALITA SANT ANTONINO VICINO AL 26A-</v>
      </c>
      <c r="C530" t="str">
        <f t="shared" si="60"/>
        <v>1</v>
      </c>
      <c r="D530">
        <v>8</v>
      </c>
      <c r="E530" t="str">
        <f>"265"</f>
        <v>265</v>
      </c>
      <c r="F530" t="str">
        <f t="shared" si="56"/>
        <v>0000</v>
      </c>
    </row>
    <row r="531" spans="1:6">
      <c r="A531" t="str">
        <f>"T570-3"</f>
        <v>T570-3</v>
      </c>
      <c r="B531" t="str">
        <f t="shared" si="59"/>
        <v>SALITA SANT ANTONINO VICINO AL 26A-</v>
      </c>
      <c r="C531" t="str">
        <f t="shared" si="60"/>
        <v>1</v>
      </c>
      <c r="D531">
        <v>8</v>
      </c>
      <c r="E531" t="str">
        <f>"630"</f>
        <v>630</v>
      </c>
      <c r="F531" t="str">
        <f t="shared" si="56"/>
        <v>0000</v>
      </c>
    </row>
    <row r="532" spans="1:6">
      <c r="A532" t="str">
        <f>"T570-4"</f>
        <v>T570-4</v>
      </c>
      <c r="B532" t="str">
        <f t="shared" si="59"/>
        <v>SALITA SANT ANTONINO VICINO AL 26A-</v>
      </c>
      <c r="C532" t="str">
        <f t="shared" si="60"/>
        <v>1</v>
      </c>
      <c r="D532">
        <v>8</v>
      </c>
      <c r="E532" t="str">
        <f>"627"</f>
        <v>627</v>
      </c>
      <c r="F532" t="str">
        <f t="shared" si="56"/>
        <v>0000</v>
      </c>
    </row>
    <row r="533" spans="1:6">
      <c r="A533" t="str">
        <f>"T570-5"</f>
        <v>T570-5</v>
      </c>
      <c r="B533" t="str">
        <f t="shared" si="59"/>
        <v>SALITA SANT ANTONINO VICINO AL 26A-</v>
      </c>
      <c r="C533" t="str">
        <f t="shared" si="60"/>
        <v>1</v>
      </c>
      <c r="D533">
        <v>8</v>
      </c>
      <c r="E533" t="str">
        <f>"628"</f>
        <v>628</v>
      </c>
      <c r="F533" t="str">
        <f t="shared" si="56"/>
        <v>0000</v>
      </c>
    </row>
    <row r="534" spans="1:6">
      <c r="A534" t="str">
        <f>"T570-6"</f>
        <v>T570-6</v>
      </c>
      <c r="B534" t="str">
        <f t="shared" si="59"/>
        <v>SALITA SANT ANTONINO VICINO AL 26A-</v>
      </c>
      <c r="C534" t="str">
        <f t="shared" si="60"/>
        <v>1</v>
      </c>
      <c r="D534">
        <v>8</v>
      </c>
      <c r="E534" t="str">
        <f>"634"</f>
        <v>634</v>
      </c>
      <c r="F534" t="str">
        <f t="shared" si="56"/>
        <v>0000</v>
      </c>
    </row>
    <row r="535" spans="1:6">
      <c r="A535" t="str">
        <f>"T570-7"</f>
        <v>T570-7</v>
      </c>
      <c r="B535" t="str">
        <f t="shared" si="59"/>
        <v>SALITA SANT ANTONINO VICINO AL 26A-</v>
      </c>
      <c r="C535" t="str">
        <f t="shared" si="60"/>
        <v>1</v>
      </c>
      <c r="D535">
        <v>8</v>
      </c>
      <c r="E535" t="str">
        <f>"639"</f>
        <v>639</v>
      </c>
      <c r="F535" t="str">
        <f t="shared" si="56"/>
        <v>0000</v>
      </c>
    </row>
    <row r="536" spans="1:6">
      <c r="A536" t="str">
        <f>"T570-8"</f>
        <v>T570-8</v>
      </c>
      <c r="B536" t="str">
        <f t="shared" si="59"/>
        <v>SALITA SANT ANTONINO VICINO AL 26A-</v>
      </c>
      <c r="C536" t="str">
        <f t="shared" si="60"/>
        <v>1</v>
      </c>
      <c r="D536">
        <v>8</v>
      </c>
      <c r="E536" t="str">
        <f>"268"</f>
        <v>268</v>
      </c>
      <c r="F536" t="str">
        <f t="shared" si="56"/>
        <v>0000</v>
      </c>
    </row>
    <row r="537" spans="1:6">
      <c r="A537" t="str">
        <f>"T570-9"</f>
        <v>T570-9</v>
      </c>
      <c r="B537" t="str">
        <f t="shared" si="59"/>
        <v>SALITA SANT ANTONINO VICINO AL 26A-</v>
      </c>
      <c r="C537" t="str">
        <f t="shared" si="60"/>
        <v>1</v>
      </c>
      <c r="D537">
        <v>8</v>
      </c>
      <c r="E537" t="str">
        <f>"99999"</f>
        <v>99999</v>
      </c>
      <c r="F537" t="str">
        <f t="shared" si="56"/>
        <v>0000</v>
      </c>
    </row>
    <row r="538" spans="1:6">
      <c r="A538" t="str">
        <f>"T575-1"</f>
        <v>T575-1</v>
      </c>
      <c r="B538" t="str">
        <f t="shared" ref="B538:B544" si="61">"VIA DELLE BANCHELLE VICINO AL 21A-"</f>
        <v>VIA DELLE BANCHELLE VICINO AL 21A-</v>
      </c>
      <c r="C538" t="str">
        <f t="shared" si="60"/>
        <v>1</v>
      </c>
      <c r="D538">
        <v>8</v>
      </c>
      <c r="E538" t="str">
        <f>"857"</f>
        <v>857</v>
      </c>
      <c r="F538" t="str">
        <f t="shared" si="56"/>
        <v>0000</v>
      </c>
    </row>
    <row r="539" spans="1:6">
      <c r="A539" t="str">
        <f>"T575-2"</f>
        <v>T575-2</v>
      </c>
      <c r="B539" t="str">
        <f t="shared" si="61"/>
        <v>VIA DELLE BANCHELLE VICINO AL 21A-</v>
      </c>
      <c r="C539" t="str">
        <f t="shared" ref="C539:C570" si="62">"1"</f>
        <v>1</v>
      </c>
      <c r="D539">
        <v>8</v>
      </c>
      <c r="E539" t="str">
        <f>"208"</f>
        <v>208</v>
      </c>
      <c r="F539" t="str">
        <f t="shared" si="56"/>
        <v>0000</v>
      </c>
    </row>
    <row r="540" spans="1:6">
      <c r="A540" t="str">
        <f>"T575-3"</f>
        <v>T575-3</v>
      </c>
      <c r="B540" t="str">
        <f t="shared" si="61"/>
        <v>VIA DELLE BANCHELLE VICINO AL 21A-</v>
      </c>
      <c r="C540" t="str">
        <f t="shared" si="62"/>
        <v>1</v>
      </c>
      <c r="D540">
        <v>8</v>
      </c>
      <c r="E540" t="str">
        <f>"209"</f>
        <v>209</v>
      </c>
      <c r="F540" t="str">
        <f t="shared" si="56"/>
        <v>0000</v>
      </c>
    </row>
    <row r="541" spans="1:6">
      <c r="A541" t="str">
        <f>"T575-4"</f>
        <v>T575-4</v>
      </c>
      <c r="B541" t="str">
        <f t="shared" si="61"/>
        <v>VIA DELLE BANCHELLE VICINO AL 21A-</v>
      </c>
      <c r="C541" t="str">
        <f t="shared" si="62"/>
        <v>1</v>
      </c>
      <c r="D541">
        <v>8</v>
      </c>
      <c r="E541" t="str">
        <f>"252"</f>
        <v>252</v>
      </c>
      <c r="F541" t="str">
        <f t="shared" si="56"/>
        <v>0000</v>
      </c>
    </row>
    <row r="542" spans="1:6">
      <c r="A542" t="str">
        <f>"T575-5"</f>
        <v>T575-5</v>
      </c>
      <c r="B542" t="str">
        <f t="shared" si="61"/>
        <v>VIA DELLE BANCHELLE VICINO AL 21A-</v>
      </c>
      <c r="C542" t="str">
        <f t="shared" si="62"/>
        <v>1</v>
      </c>
      <c r="D542">
        <v>8</v>
      </c>
      <c r="E542" t="str">
        <f>"425"</f>
        <v>425</v>
      </c>
      <c r="F542" t="str">
        <f t="shared" si="56"/>
        <v>0000</v>
      </c>
    </row>
    <row r="543" spans="1:6">
      <c r="A543" t="str">
        <f>"T575-6"</f>
        <v>T575-6</v>
      </c>
      <c r="B543" t="str">
        <f t="shared" si="61"/>
        <v>VIA DELLE BANCHELLE VICINO AL 21A-</v>
      </c>
      <c r="C543" t="str">
        <f t="shared" si="62"/>
        <v>1</v>
      </c>
      <c r="D543">
        <v>8</v>
      </c>
      <c r="E543" t="str">
        <f>"428"</f>
        <v>428</v>
      </c>
      <c r="F543" t="str">
        <f t="shared" si="56"/>
        <v>0000</v>
      </c>
    </row>
    <row r="544" spans="1:6">
      <c r="A544" t="str">
        <f>"T575-7"</f>
        <v>T575-7</v>
      </c>
      <c r="B544" t="str">
        <f t="shared" si="61"/>
        <v>VIA DELLE BANCHELLE VICINO AL 21A-</v>
      </c>
      <c r="C544" t="str">
        <f t="shared" si="62"/>
        <v>1</v>
      </c>
      <c r="D544">
        <v>8</v>
      </c>
      <c r="E544" t="str">
        <f>"493"</f>
        <v>493</v>
      </c>
      <c r="F544" t="str">
        <f t="shared" si="56"/>
        <v>0000</v>
      </c>
    </row>
    <row r="545" spans="1:6">
      <c r="A545" t="str">
        <f>"T576-1"</f>
        <v>T576-1</v>
      </c>
      <c r="B545" t="str">
        <f>"SALITA DEL MONTINO VICINO AL 19-"</f>
        <v>SALITA DEL MONTINO VICINO AL 19-</v>
      </c>
      <c r="C545" t="str">
        <f t="shared" si="62"/>
        <v>1</v>
      </c>
      <c r="D545">
        <v>8</v>
      </c>
      <c r="E545" t="str">
        <f>"99999"</f>
        <v>99999</v>
      </c>
      <c r="F545" t="str">
        <f t="shared" si="56"/>
        <v>0000</v>
      </c>
    </row>
    <row r="546" spans="1:6">
      <c r="A546" t="str">
        <f>"T576-2"</f>
        <v>T576-2</v>
      </c>
      <c r="B546" t="str">
        <f>"SALITA DEL MONTINO VICINO AL 19-"</f>
        <v>SALITA DEL MONTINO VICINO AL 19-</v>
      </c>
      <c r="C546" t="str">
        <f t="shared" si="62"/>
        <v>1</v>
      </c>
      <c r="D546">
        <v>8</v>
      </c>
      <c r="E546" t="str">
        <f>"219"</f>
        <v>219</v>
      </c>
      <c r="F546" t="str">
        <f t="shared" si="56"/>
        <v>0000</v>
      </c>
    </row>
    <row r="547" spans="1:6">
      <c r="A547" t="str">
        <f>"T576-3"</f>
        <v>T576-3</v>
      </c>
      <c r="B547" t="str">
        <f>"SALITA DEL MONTINO VICINO AL 19-"</f>
        <v>SALITA DEL MONTINO VICINO AL 19-</v>
      </c>
      <c r="C547" t="str">
        <f t="shared" si="62"/>
        <v>1</v>
      </c>
      <c r="D547">
        <v>8</v>
      </c>
      <c r="E547" t="str">
        <f>"475"</f>
        <v>475</v>
      </c>
      <c r="F547" t="str">
        <f t="shared" si="56"/>
        <v>0000</v>
      </c>
    </row>
    <row r="548" spans="1:6">
      <c r="A548" t="str">
        <f>"T576-4"</f>
        <v>T576-4</v>
      </c>
      <c r="B548" t="str">
        <f>"SALITA DEL MONTINO VICINO AL 19-"</f>
        <v>SALITA DEL MONTINO VICINO AL 19-</v>
      </c>
      <c r="C548" t="str">
        <f t="shared" si="62"/>
        <v>1</v>
      </c>
      <c r="D548">
        <v>8</v>
      </c>
      <c r="E548" t="str">
        <f>"476"</f>
        <v>476</v>
      </c>
      <c r="F548" t="str">
        <f t="shared" si="56"/>
        <v>0000</v>
      </c>
    </row>
    <row r="549" spans="1:6">
      <c r="A549" t="str">
        <f>"T576-5"</f>
        <v>T576-5</v>
      </c>
      <c r="B549" t="str">
        <f>"SALITA DEL MONTINO VICINO AL 19-"</f>
        <v>SALITA DEL MONTINO VICINO AL 19-</v>
      </c>
      <c r="C549" t="str">
        <f t="shared" si="62"/>
        <v>1</v>
      </c>
      <c r="D549">
        <v>8</v>
      </c>
      <c r="E549" t="str">
        <f>"188"</f>
        <v>188</v>
      </c>
      <c r="F549" t="str">
        <f t="shared" si="56"/>
        <v>0000</v>
      </c>
    </row>
    <row r="550" spans="1:6">
      <c r="A550" t="str">
        <f>"T577-1"</f>
        <v>T577-1</v>
      </c>
      <c r="B550" t="str">
        <f t="shared" ref="B550:B575" si="63">"VIA CA DE MUSSI VICINO AL 7-"</f>
        <v>VIA CA DE MUSSI VICINO AL 7-</v>
      </c>
      <c r="C550" t="str">
        <f t="shared" si="62"/>
        <v>1</v>
      </c>
      <c r="D550">
        <v>8</v>
      </c>
      <c r="E550" t="str">
        <f>"40"</f>
        <v>40</v>
      </c>
      <c r="F550" t="str">
        <f t="shared" si="56"/>
        <v>0000</v>
      </c>
    </row>
    <row r="551" spans="1:6">
      <c r="A551" t="str">
        <f>"T577-2"</f>
        <v>T577-2</v>
      </c>
      <c r="B551" t="str">
        <f t="shared" si="63"/>
        <v>VIA CA DE MUSSI VICINO AL 7-</v>
      </c>
      <c r="C551" t="str">
        <f t="shared" si="62"/>
        <v>1</v>
      </c>
      <c r="D551">
        <v>8</v>
      </c>
      <c r="E551" t="str">
        <f>"41"</f>
        <v>41</v>
      </c>
      <c r="F551" t="str">
        <f t="shared" si="56"/>
        <v>0000</v>
      </c>
    </row>
    <row r="552" spans="1:6">
      <c r="A552" t="str">
        <f>"T577-3"</f>
        <v>T577-3</v>
      </c>
      <c r="B552" t="str">
        <f t="shared" si="63"/>
        <v>VIA CA DE MUSSI VICINO AL 7-</v>
      </c>
      <c r="C552" t="str">
        <f t="shared" si="62"/>
        <v>1</v>
      </c>
      <c r="D552">
        <v>8</v>
      </c>
      <c r="E552" t="str">
        <f>"42"</f>
        <v>42</v>
      </c>
      <c r="F552" t="str">
        <f t="shared" si="56"/>
        <v>0000</v>
      </c>
    </row>
    <row r="553" spans="1:6">
      <c r="A553" t="str">
        <f>"T577-4"</f>
        <v>T577-4</v>
      </c>
      <c r="B553" t="str">
        <f t="shared" si="63"/>
        <v>VIA CA DE MUSSI VICINO AL 7-</v>
      </c>
      <c r="C553" t="str">
        <f t="shared" si="62"/>
        <v>1</v>
      </c>
      <c r="D553">
        <v>8</v>
      </c>
      <c r="E553" t="str">
        <f>"46"</f>
        <v>46</v>
      </c>
      <c r="F553" t="str">
        <f t="shared" ref="F553:F616" si="64">"0000"</f>
        <v>0000</v>
      </c>
    </row>
    <row r="554" spans="1:6">
      <c r="A554" t="str">
        <f>"T577-5"</f>
        <v>T577-5</v>
      </c>
      <c r="B554" t="str">
        <f t="shared" si="63"/>
        <v>VIA CA DE MUSSI VICINO AL 7-</v>
      </c>
      <c r="C554" t="str">
        <f t="shared" si="62"/>
        <v>1</v>
      </c>
      <c r="D554">
        <v>8</v>
      </c>
      <c r="E554" t="str">
        <f>"85"</f>
        <v>85</v>
      </c>
      <c r="F554" t="str">
        <f t="shared" si="64"/>
        <v>0000</v>
      </c>
    </row>
    <row r="555" spans="1:6">
      <c r="A555" t="str">
        <f>"T577-6"</f>
        <v>T577-6</v>
      </c>
      <c r="B555" t="str">
        <f t="shared" si="63"/>
        <v>VIA CA DE MUSSI VICINO AL 7-</v>
      </c>
      <c r="C555" t="str">
        <f t="shared" si="62"/>
        <v>1</v>
      </c>
      <c r="D555">
        <v>8</v>
      </c>
      <c r="E555" t="str">
        <f>"88"</f>
        <v>88</v>
      </c>
      <c r="F555" t="str">
        <f t="shared" si="64"/>
        <v>0000</v>
      </c>
    </row>
    <row r="556" spans="1:6">
      <c r="A556" t="str">
        <f>"T577-7"</f>
        <v>T577-7</v>
      </c>
      <c r="B556" t="str">
        <f t="shared" si="63"/>
        <v>VIA CA DE MUSSI VICINO AL 7-</v>
      </c>
      <c r="C556" t="str">
        <f t="shared" si="62"/>
        <v>1</v>
      </c>
      <c r="D556">
        <v>8</v>
      </c>
      <c r="E556" t="str">
        <f>"857"</f>
        <v>857</v>
      </c>
      <c r="F556" t="str">
        <f t="shared" si="64"/>
        <v>0000</v>
      </c>
    </row>
    <row r="557" spans="1:6">
      <c r="A557" t="str">
        <f>"T577-8"</f>
        <v>T577-8</v>
      </c>
      <c r="B557" t="str">
        <f t="shared" si="63"/>
        <v>VIA CA DE MUSSI VICINO AL 7-</v>
      </c>
      <c r="C557" t="str">
        <f t="shared" si="62"/>
        <v>1</v>
      </c>
      <c r="D557">
        <v>8</v>
      </c>
      <c r="E557" t="str">
        <f>"151"</f>
        <v>151</v>
      </c>
      <c r="F557" t="str">
        <f t="shared" si="64"/>
        <v>0000</v>
      </c>
    </row>
    <row r="558" spans="1:6">
      <c r="A558" t="str">
        <f>"T577-9"</f>
        <v>T577-9</v>
      </c>
      <c r="B558" t="str">
        <f t="shared" si="63"/>
        <v>VIA CA DE MUSSI VICINO AL 7-</v>
      </c>
      <c r="C558" t="str">
        <f t="shared" si="62"/>
        <v>1</v>
      </c>
      <c r="D558">
        <v>8</v>
      </c>
      <c r="E558" t="str">
        <f>"153"</f>
        <v>153</v>
      </c>
      <c r="F558" t="str">
        <f t="shared" si="64"/>
        <v>0000</v>
      </c>
    </row>
    <row r="559" spans="1:6">
      <c r="A559" t="str">
        <f>"T577-10"</f>
        <v>T577-10</v>
      </c>
      <c r="B559" t="str">
        <f t="shared" si="63"/>
        <v>VIA CA DE MUSSI VICINO AL 7-</v>
      </c>
      <c r="C559" t="str">
        <f t="shared" si="62"/>
        <v>1</v>
      </c>
      <c r="D559">
        <v>8</v>
      </c>
      <c r="E559" t="str">
        <f>"196"</f>
        <v>196</v>
      </c>
      <c r="F559" t="str">
        <f t="shared" si="64"/>
        <v>0000</v>
      </c>
    </row>
    <row r="560" spans="1:6">
      <c r="A560" t="str">
        <f>"T577-11"</f>
        <v>T577-11</v>
      </c>
      <c r="B560" t="str">
        <f t="shared" si="63"/>
        <v>VIA CA DE MUSSI VICINO AL 7-</v>
      </c>
      <c r="C560" t="str">
        <f t="shared" si="62"/>
        <v>1</v>
      </c>
      <c r="D560">
        <v>8</v>
      </c>
      <c r="E560" t="str">
        <f>"197"</f>
        <v>197</v>
      </c>
      <c r="F560" t="str">
        <f t="shared" si="64"/>
        <v>0000</v>
      </c>
    </row>
    <row r="561" spans="1:6">
      <c r="A561" t="str">
        <f>"T577-12"</f>
        <v>T577-12</v>
      </c>
      <c r="B561" t="str">
        <f t="shared" si="63"/>
        <v>VIA CA DE MUSSI VICINO AL 7-</v>
      </c>
      <c r="C561" t="str">
        <f t="shared" si="62"/>
        <v>1</v>
      </c>
      <c r="D561">
        <v>8</v>
      </c>
      <c r="E561" t="str">
        <f>"208"</f>
        <v>208</v>
      </c>
      <c r="F561" t="str">
        <f t="shared" si="64"/>
        <v>0000</v>
      </c>
    </row>
    <row r="562" spans="1:6">
      <c r="A562" t="str">
        <f>"T577-13"</f>
        <v>T577-13</v>
      </c>
      <c r="B562" t="str">
        <f t="shared" si="63"/>
        <v>VIA CA DE MUSSI VICINO AL 7-</v>
      </c>
      <c r="C562" t="str">
        <f t="shared" si="62"/>
        <v>1</v>
      </c>
      <c r="D562">
        <v>8</v>
      </c>
      <c r="E562" t="str">
        <f>"209"</f>
        <v>209</v>
      </c>
      <c r="F562" t="str">
        <f t="shared" si="64"/>
        <v>0000</v>
      </c>
    </row>
    <row r="563" spans="1:6">
      <c r="A563" t="str">
        <f>"T577-14"</f>
        <v>T577-14</v>
      </c>
      <c r="B563" t="str">
        <f t="shared" si="63"/>
        <v>VIA CA DE MUSSI VICINO AL 7-</v>
      </c>
      <c r="C563" t="str">
        <f t="shared" si="62"/>
        <v>1</v>
      </c>
      <c r="D563">
        <v>8</v>
      </c>
      <c r="E563" t="str">
        <f>"220"</f>
        <v>220</v>
      </c>
      <c r="F563" t="str">
        <f t="shared" si="64"/>
        <v>0000</v>
      </c>
    </row>
    <row r="564" spans="1:6">
      <c r="A564" t="str">
        <f>"T577-15"</f>
        <v>T577-15</v>
      </c>
      <c r="B564" t="str">
        <f t="shared" si="63"/>
        <v>VIA CA DE MUSSI VICINO AL 7-</v>
      </c>
      <c r="C564" t="str">
        <f t="shared" si="62"/>
        <v>1</v>
      </c>
      <c r="D564">
        <v>8</v>
      </c>
      <c r="E564" t="str">
        <f>"221"</f>
        <v>221</v>
      </c>
      <c r="F564" t="str">
        <f t="shared" si="64"/>
        <v>0000</v>
      </c>
    </row>
    <row r="565" spans="1:6">
      <c r="A565" t="str">
        <f>"T577-16"</f>
        <v>T577-16</v>
      </c>
      <c r="B565" t="str">
        <f t="shared" si="63"/>
        <v>VIA CA DE MUSSI VICINO AL 7-</v>
      </c>
      <c r="C565" t="str">
        <f t="shared" si="62"/>
        <v>1</v>
      </c>
      <c r="D565">
        <v>8</v>
      </c>
      <c r="E565" t="str">
        <f>"252"</f>
        <v>252</v>
      </c>
      <c r="F565" t="str">
        <f t="shared" si="64"/>
        <v>0000</v>
      </c>
    </row>
    <row r="566" spans="1:6">
      <c r="A566" t="str">
        <f>"T577-17"</f>
        <v>T577-17</v>
      </c>
      <c r="B566" t="str">
        <f t="shared" si="63"/>
        <v>VIA CA DE MUSSI VICINO AL 7-</v>
      </c>
      <c r="C566" t="str">
        <f t="shared" si="62"/>
        <v>1</v>
      </c>
      <c r="D566">
        <v>8</v>
      </c>
      <c r="E566" t="str">
        <f>"425"</f>
        <v>425</v>
      </c>
      <c r="F566" t="str">
        <f t="shared" si="64"/>
        <v>0000</v>
      </c>
    </row>
    <row r="567" spans="1:6">
      <c r="A567" t="str">
        <f>"T577-18"</f>
        <v>T577-18</v>
      </c>
      <c r="B567" t="str">
        <f t="shared" si="63"/>
        <v>VIA CA DE MUSSI VICINO AL 7-</v>
      </c>
      <c r="C567" t="str">
        <f t="shared" si="62"/>
        <v>1</v>
      </c>
      <c r="D567">
        <v>8</v>
      </c>
      <c r="E567" t="str">
        <f>"448"</f>
        <v>448</v>
      </c>
      <c r="F567" t="str">
        <f t="shared" si="64"/>
        <v>0000</v>
      </c>
    </row>
    <row r="568" spans="1:6">
      <c r="A568" t="str">
        <f>"T577-19"</f>
        <v>T577-19</v>
      </c>
      <c r="B568" t="str">
        <f t="shared" si="63"/>
        <v>VIA CA DE MUSSI VICINO AL 7-</v>
      </c>
      <c r="C568" t="str">
        <f t="shared" si="62"/>
        <v>1</v>
      </c>
      <c r="D568">
        <v>8</v>
      </c>
      <c r="E568" t="str">
        <f>"449"</f>
        <v>449</v>
      </c>
      <c r="F568" t="str">
        <f t="shared" si="64"/>
        <v>0000</v>
      </c>
    </row>
    <row r="569" spans="1:6">
      <c r="A569" t="str">
        <f>"T577-20"</f>
        <v>T577-20</v>
      </c>
      <c r="B569" t="str">
        <f t="shared" si="63"/>
        <v>VIA CA DE MUSSI VICINO AL 7-</v>
      </c>
      <c r="C569" t="str">
        <f t="shared" si="62"/>
        <v>1</v>
      </c>
      <c r="D569">
        <v>8</v>
      </c>
      <c r="E569" t="str">
        <f>"450"</f>
        <v>450</v>
      </c>
      <c r="F569" t="str">
        <f t="shared" si="64"/>
        <v>0000</v>
      </c>
    </row>
    <row r="570" spans="1:6">
      <c r="A570" t="str">
        <f>"T577-21"</f>
        <v>T577-21</v>
      </c>
      <c r="B570" t="str">
        <f t="shared" si="63"/>
        <v>VIA CA DE MUSSI VICINO AL 7-</v>
      </c>
      <c r="C570" t="str">
        <f t="shared" si="62"/>
        <v>1</v>
      </c>
      <c r="D570">
        <v>8</v>
      </c>
      <c r="E570" t="str">
        <f>"451"</f>
        <v>451</v>
      </c>
      <c r="F570" t="str">
        <f t="shared" si="64"/>
        <v>0000</v>
      </c>
    </row>
    <row r="571" spans="1:6">
      <c r="A571" t="str">
        <f>"T577-22"</f>
        <v>T577-22</v>
      </c>
      <c r="B571" t="str">
        <f t="shared" si="63"/>
        <v>VIA CA DE MUSSI VICINO AL 7-</v>
      </c>
      <c r="C571" t="str">
        <f t="shared" ref="C571:C602" si="65">"1"</f>
        <v>1</v>
      </c>
      <c r="D571">
        <v>8</v>
      </c>
      <c r="E571" t="str">
        <f>"493"</f>
        <v>493</v>
      </c>
      <c r="F571" t="str">
        <f t="shared" si="64"/>
        <v>0000</v>
      </c>
    </row>
    <row r="572" spans="1:6">
      <c r="A572" t="str">
        <f>"T577-23"</f>
        <v>T577-23</v>
      </c>
      <c r="B572" t="str">
        <f t="shared" si="63"/>
        <v>VIA CA DE MUSSI VICINO AL 7-</v>
      </c>
      <c r="C572" t="str">
        <f t="shared" si="65"/>
        <v>1</v>
      </c>
      <c r="D572">
        <v>8</v>
      </c>
      <c r="E572" t="str">
        <f>"86"</f>
        <v>86</v>
      </c>
      <c r="F572" t="str">
        <f t="shared" si="64"/>
        <v>0000</v>
      </c>
    </row>
    <row r="573" spans="1:6">
      <c r="A573" t="str">
        <f>"T577-24"</f>
        <v>T577-24</v>
      </c>
      <c r="B573" t="str">
        <f t="shared" si="63"/>
        <v>VIA CA DE MUSSI VICINO AL 7-</v>
      </c>
      <c r="C573" t="str">
        <f t="shared" si="65"/>
        <v>1</v>
      </c>
      <c r="D573">
        <v>8</v>
      </c>
      <c r="E573" t="str">
        <f>"87"</f>
        <v>87</v>
      </c>
      <c r="F573" t="str">
        <f t="shared" si="64"/>
        <v>0000</v>
      </c>
    </row>
    <row r="574" spans="1:6">
      <c r="A574" t="str">
        <f>"T577-25"</f>
        <v>T577-25</v>
      </c>
      <c r="B574" t="str">
        <f t="shared" si="63"/>
        <v>VIA CA DE MUSSI VICINO AL 7-</v>
      </c>
      <c r="C574" t="str">
        <f t="shared" si="65"/>
        <v>1</v>
      </c>
      <c r="D574">
        <v>8</v>
      </c>
      <c r="E574" t="str">
        <f>"382"</f>
        <v>382</v>
      </c>
      <c r="F574" t="str">
        <f t="shared" si="64"/>
        <v>0000</v>
      </c>
    </row>
    <row r="575" spans="1:6">
      <c r="A575" t="str">
        <f>"T577-26"</f>
        <v>T577-26</v>
      </c>
      <c r="B575" t="str">
        <f t="shared" si="63"/>
        <v>VIA CA DE MUSSI VICINO AL 7-</v>
      </c>
      <c r="C575" t="str">
        <f t="shared" si="65"/>
        <v>1</v>
      </c>
      <c r="D575">
        <v>8</v>
      </c>
      <c r="E575" t="str">
        <f>"195"</f>
        <v>195</v>
      </c>
      <c r="F575" t="str">
        <f t="shared" si="64"/>
        <v>0000</v>
      </c>
    </row>
    <row r="576" spans="1:6">
      <c r="A576" t="str">
        <f>"T578-1"</f>
        <v>T578-1</v>
      </c>
      <c r="B576" t="str">
        <f t="shared" ref="B576:B611" si="66">"VIA CA DE MUSSI VICINO AL 9-"</f>
        <v>VIA CA DE MUSSI VICINO AL 9-</v>
      </c>
      <c r="C576" t="str">
        <f t="shared" si="65"/>
        <v>1</v>
      </c>
      <c r="D576">
        <v>8</v>
      </c>
      <c r="E576" t="str">
        <f>"6"</f>
        <v>6</v>
      </c>
      <c r="F576" t="str">
        <f t="shared" si="64"/>
        <v>0000</v>
      </c>
    </row>
    <row r="577" spans="1:6">
      <c r="A577" t="str">
        <f>"T578-2"</f>
        <v>T578-2</v>
      </c>
      <c r="B577" t="str">
        <f t="shared" si="66"/>
        <v>VIA CA DE MUSSI VICINO AL 9-</v>
      </c>
      <c r="C577" t="str">
        <f t="shared" si="65"/>
        <v>1</v>
      </c>
      <c r="D577">
        <v>8</v>
      </c>
      <c r="E577" t="str">
        <f>"7"</f>
        <v>7</v>
      </c>
      <c r="F577" t="str">
        <f t="shared" si="64"/>
        <v>0000</v>
      </c>
    </row>
    <row r="578" spans="1:6">
      <c r="A578" t="str">
        <f>"T578-3"</f>
        <v>T578-3</v>
      </c>
      <c r="B578" t="str">
        <f t="shared" si="66"/>
        <v>VIA CA DE MUSSI VICINO AL 9-</v>
      </c>
      <c r="C578" t="str">
        <f t="shared" si="65"/>
        <v>1</v>
      </c>
      <c r="D578">
        <v>8</v>
      </c>
      <c r="E578" t="str">
        <f>"8"</f>
        <v>8</v>
      </c>
      <c r="F578" t="str">
        <f t="shared" si="64"/>
        <v>0000</v>
      </c>
    </row>
    <row r="579" spans="1:6">
      <c r="A579" t="str">
        <f>"T578-4"</f>
        <v>T578-4</v>
      </c>
      <c r="B579" t="str">
        <f t="shared" si="66"/>
        <v>VIA CA DE MUSSI VICINO AL 9-</v>
      </c>
      <c r="C579" t="str">
        <f t="shared" si="65"/>
        <v>1</v>
      </c>
      <c r="D579">
        <v>8</v>
      </c>
      <c r="E579" t="str">
        <f>"10"</f>
        <v>10</v>
      </c>
      <c r="F579" t="str">
        <f t="shared" si="64"/>
        <v>0000</v>
      </c>
    </row>
    <row r="580" spans="1:6">
      <c r="A580" t="str">
        <f>"T578-5"</f>
        <v>T578-5</v>
      </c>
      <c r="B580" t="str">
        <f t="shared" si="66"/>
        <v>VIA CA DE MUSSI VICINO AL 9-</v>
      </c>
      <c r="C580" t="str">
        <f t="shared" si="65"/>
        <v>1</v>
      </c>
      <c r="D580">
        <v>8</v>
      </c>
      <c r="E580" t="str">
        <f>"16"</f>
        <v>16</v>
      </c>
      <c r="F580" t="str">
        <f t="shared" si="64"/>
        <v>0000</v>
      </c>
    </row>
    <row r="581" spans="1:6">
      <c r="A581" t="str">
        <f>"T578-6"</f>
        <v>T578-6</v>
      </c>
      <c r="B581" t="str">
        <f t="shared" si="66"/>
        <v>VIA CA DE MUSSI VICINO AL 9-</v>
      </c>
      <c r="C581" t="str">
        <f t="shared" si="65"/>
        <v>1</v>
      </c>
      <c r="D581">
        <v>8</v>
      </c>
      <c r="E581" t="str">
        <f>"17"</f>
        <v>17</v>
      </c>
      <c r="F581" t="str">
        <f t="shared" si="64"/>
        <v>0000</v>
      </c>
    </row>
    <row r="582" spans="1:6">
      <c r="A582" t="str">
        <f>"T578-7"</f>
        <v>T578-7</v>
      </c>
      <c r="B582" t="str">
        <f t="shared" si="66"/>
        <v>VIA CA DE MUSSI VICINO AL 9-</v>
      </c>
      <c r="C582" t="str">
        <f t="shared" si="65"/>
        <v>1</v>
      </c>
      <c r="D582">
        <v>8</v>
      </c>
      <c r="E582" t="str">
        <f>"99999"</f>
        <v>99999</v>
      </c>
      <c r="F582" t="str">
        <f t="shared" si="64"/>
        <v>0000</v>
      </c>
    </row>
    <row r="583" spans="1:6">
      <c r="A583" t="str">
        <f>"T578-8"</f>
        <v>T578-8</v>
      </c>
      <c r="B583" t="str">
        <f t="shared" si="66"/>
        <v>VIA CA DE MUSSI VICINO AL 9-</v>
      </c>
      <c r="C583" t="str">
        <f t="shared" si="65"/>
        <v>1</v>
      </c>
      <c r="D583">
        <v>8</v>
      </c>
      <c r="E583" t="str">
        <f>"99999"</f>
        <v>99999</v>
      </c>
      <c r="F583" t="str">
        <f t="shared" si="64"/>
        <v>0000</v>
      </c>
    </row>
    <row r="584" spans="1:6">
      <c r="A584" t="str">
        <f>"T578-9"</f>
        <v>T578-9</v>
      </c>
      <c r="B584" t="str">
        <f t="shared" si="66"/>
        <v>VIA CA DE MUSSI VICINO AL 9-</v>
      </c>
      <c r="C584" t="str">
        <f t="shared" si="65"/>
        <v>1</v>
      </c>
      <c r="D584">
        <v>8</v>
      </c>
      <c r="E584" t="str">
        <f>"20"</f>
        <v>20</v>
      </c>
      <c r="F584" t="str">
        <f t="shared" si="64"/>
        <v>0000</v>
      </c>
    </row>
    <row r="585" spans="1:6">
      <c r="A585" t="str">
        <f>"T578-10"</f>
        <v>T578-10</v>
      </c>
      <c r="B585" t="str">
        <f t="shared" si="66"/>
        <v>VIA CA DE MUSSI VICINO AL 9-</v>
      </c>
      <c r="C585" t="str">
        <f t="shared" si="65"/>
        <v>1</v>
      </c>
      <c r="D585">
        <v>8</v>
      </c>
      <c r="E585" t="str">
        <f>"22"</f>
        <v>22</v>
      </c>
      <c r="F585" t="str">
        <f t="shared" si="64"/>
        <v>0000</v>
      </c>
    </row>
    <row r="586" spans="1:6">
      <c r="A586" t="str">
        <f>"T578-11"</f>
        <v>T578-11</v>
      </c>
      <c r="B586" t="str">
        <f t="shared" si="66"/>
        <v>VIA CA DE MUSSI VICINO AL 9-</v>
      </c>
      <c r="C586" t="str">
        <f t="shared" si="65"/>
        <v>1</v>
      </c>
      <c r="D586">
        <v>8</v>
      </c>
      <c r="E586" t="str">
        <f>"32"</f>
        <v>32</v>
      </c>
      <c r="F586" t="str">
        <f t="shared" si="64"/>
        <v>0000</v>
      </c>
    </row>
    <row r="587" spans="1:6">
      <c r="A587" t="str">
        <f>"T578-12"</f>
        <v>T578-12</v>
      </c>
      <c r="B587" t="str">
        <f t="shared" si="66"/>
        <v>VIA CA DE MUSSI VICINO AL 9-</v>
      </c>
      <c r="C587" t="str">
        <f t="shared" si="65"/>
        <v>1</v>
      </c>
      <c r="D587">
        <v>8</v>
      </c>
      <c r="E587" t="str">
        <f>"39"</f>
        <v>39</v>
      </c>
      <c r="F587" t="str">
        <f t="shared" si="64"/>
        <v>0000</v>
      </c>
    </row>
    <row r="588" spans="1:6">
      <c r="A588" t="str">
        <f>"T578-13"</f>
        <v>T578-13</v>
      </c>
      <c r="B588" t="str">
        <f t="shared" si="66"/>
        <v>VIA CA DE MUSSI VICINO AL 9-</v>
      </c>
      <c r="C588" t="str">
        <f t="shared" si="65"/>
        <v>1</v>
      </c>
      <c r="D588">
        <v>8</v>
      </c>
      <c r="E588" t="str">
        <f>"40"</f>
        <v>40</v>
      </c>
      <c r="F588" t="str">
        <f t="shared" si="64"/>
        <v>0000</v>
      </c>
    </row>
    <row r="589" spans="1:6">
      <c r="A589" t="str">
        <f>"T578-14"</f>
        <v>T578-14</v>
      </c>
      <c r="B589" t="str">
        <f t="shared" si="66"/>
        <v>VIA CA DE MUSSI VICINO AL 9-</v>
      </c>
      <c r="C589" t="str">
        <f t="shared" si="65"/>
        <v>1</v>
      </c>
      <c r="D589">
        <v>8</v>
      </c>
      <c r="E589" t="str">
        <f>"41"</f>
        <v>41</v>
      </c>
      <c r="F589" t="str">
        <f t="shared" si="64"/>
        <v>0000</v>
      </c>
    </row>
    <row r="590" spans="1:6">
      <c r="A590" t="str">
        <f>"T578-15"</f>
        <v>T578-15</v>
      </c>
      <c r="B590" t="str">
        <f t="shared" si="66"/>
        <v>VIA CA DE MUSSI VICINO AL 9-</v>
      </c>
      <c r="C590" t="str">
        <f t="shared" si="65"/>
        <v>1</v>
      </c>
      <c r="D590">
        <v>8</v>
      </c>
      <c r="E590" t="str">
        <f>"84"</f>
        <v>84</v>
      </c>
      <c r="F590" t="str">
        <f t="shared" si="64"/>
        <v>0000</v>
      </c>
    </row>
    <row r="591" spans="1:6">
      <c r="A591" t="str">
        <f>"T578-16"</f>
        <v>T578-16</v>
      </c>
      <c r="B591" t="str">
        <f t="shared" si="66"/>
        <v>VIA CA DE MUSSI VICINO AL 9-</v>
      </c>
      <c r="C591" t="str">
        <f t="shared" si="65"/>
        <v>1</v>
      </c>
      <c r="D591">
        <v>8</v>
      </c>
      <c r="E591" t="str">
        <f>"131"</f>
        <v>131</v>
      </c>
      <c r="F591" t="str">
        <f t="shared" si="64"/>
        <v>0000</v>
      </c>
    </row>
    <row r="592" spans="1:6">
      <c r="A592" t="str">
        <f>"T578-17"</f>
        <v>T578-17</v>
      </c>
      <c r="B592" t="str">
        <f t="shared" si="66"/>
        <v>VIA CA DE MUSSI VICINO AL 9-</v>
      </c>
      <c r="C592" t="str">
        <f t="shared" si="65"/>
        <v>1</v>
      </c>
      <c r="D592">
        <v>8</v>
      </c>
      <c r="E592" t="str">
        <f>"857"</f>
        <v>857</v>
      </c>
      <c r="F592" t="str">
        <f t="shared" si="64"/>
        <v>0000</v>
      </c>
    </row>
    <row r="593" spans="1:6">
      <c r="A593" t="str">
        <f>"T578-18"</f>
        <v>T578-18</v>
      </c>
      <c r="B593" t="str">
        <f t="shared" si="66"/>
        <v>VIA CA DE MUSSI VICINO AL 9-</v>
      </c>
      <c r="C593" t="str">
        <f t="shared" si="65"/>
        <v>1</v>
      </c>
      <c r="D593">
        <v>8</v>
      </c>
      <c r="E593" t="str">
        <f>"196"</f>
        <v>196</v>
      </c>
      <c r="F593" t="str">
        <f t="shared" si="64"/>
        <v>0000</v>
      </c>
    </row>
    <row r="594" spans="1:6">
      <c r="A594" t="str">
        <f>"T578-19"</f>
        <v>T578-19</v>
      </c>
      <c r="B594" t="str">
        <f t="shared" si="66"/>
        <v>VIA CA DE MUSSI VICINO AL 9-</v>
      </c>
      <c r="C594" t="str">
        <f t="shared" si="65"/>
        <v>1</v>
      </c>
      <c r="D594">
        <v>8</v>
      </c>
      <c r="E594" t="str">
        <f>"197"</f>
        <v>197</v>
      </c>
      <c r="F594" t="str">
        <f t="shared" si="64"/>
        <v>0000</v>
      </c>
    </row>
    <row r="595" spans="1:6">
      <c r="A595" t="str">
        <f>"T578-20"</f>
        <v>T578-20</v>
      </c>
      <c r="B595" t="str">
        <f t="shared" si="66"/>
        <v>VIA CA DE MUSSI VICINO AL 9-</v>
      </c>
      <c r="C595" t="str">
        <f t="shared" si="65"/>
        <v>1</v>
      </c>
      <c r="D595">
        <v>8</v>
      </c>
      <c r="E595" t="str">
        <f>"221"</f>
        <v>221</v>
      </c>
      <c r="F595" t="str">
        <f t="shared" si="64"/>
        <v>0000</v>
      </c>
    </row>
    <row r="596" spans="1:6">
      <c r="A596" t="str">
        <f>"T578-21"</f>
        <v>T578-21</v>
      </c>
      <c r="B596" t="str">
        <f t="shared" si="66"/>
        <v>VIA CA DE MUSSI VICINO AL 9-</v>
      </c>
      <c r="C596" t="str">
        <f t="shared" si="65"/>
        <v>1</v>
      </c>
      <c r="D596">
        <v>8</v>
      </c>
      <c r="E596" t="str">
        <f>"429"</f>
        <v>429</v>
      </c>
      <c r="F596" t="str">
        <f t="shared" si="64"/>
        <v>0000</v>
      </c>
    </row>
    <row r="597" spans="1:6">
      <c r="A597" t="str">
        <f>"T578-22"</f>
        <v>T578-22</v>
      </c>
      <c r="B597" t="str">
        <f t="shared" si="66"/>
        <v>VIA CA DE MUSSI VICINO AL 9-</v>
      </c>
      <c r="C597" t="str">
        <f t="shared" si="65"/>
        <v>1</v>
      </c>
      <c r="D597">
        <v>8</v>
      </c>
      <c r="E597" t="str">
        <f>"444"</f>
        <v>444</v>
      </c>
      <c r="F597" t="str">
        <f t="shared" si="64"/>
        <v>0000</v>
      </c>
    </row>
    <row r="598" spans="1:6">
      <c r="A598" t="str">
        <f>"T578-23"</f>
        <v>T578-23</v>
      </c>
      <c r="B598" t="str">
        <f t="shared" si="66"/>
        <v>VIA CA DE MUSSI VICINO AL 9-</v>
      </c>
      <c r="C598" t="str">
        <f t="shared" si="65"/>
        <v>1</v>
      </c>
      <c r="D598">
        <v>8</v>
      </c>
      <c r="E598" t="str">
        <f>"445"</f>
        <v>445</v>
      </c>
      <c r="F598" t="str">
        <f t="shared" si="64"/>
        <v>0000</v>
      </c>
    </row>
    <row r="599" spans="1:6">
      <c r="A599" t="str">
        <f>"T578-24"</f>
        <v>T578-24</v>
      </c>
      <c r="B599" t="str">
        <f t="shared" si="66"/>
        <v>VIA CA DE MUSSI VICINO AL 9-</v>
      </c>
      <c r="C599" t="str">
        <f t="shared" si="65"/>
        <v>1</v>
      </c>
      <c r="D599">
        <v>8</v>
      </c>
      <c r="E599" t="str">
        <f>"446"</f>
        <v>446</v>
      </c>
      <c r="F599" t="str">
        <f t="shared" si="64"/>
        <v>0000</v>
      </c>
    </row>
    <row r="600" spans="1:6">
      <c r="A600" t="str">
        <f>"T578-25"</f>
        <v>T578-25</v>
      </c>
      <c r="B600" t="str">
        <f t="shared" si="66"/>
        <v>VIA CA DE MUSSI VICINO AL 9-</v>
      </c>
      <c r="C600" t="str">
        <f t="shared" si="65"/>
        <v>1</v>
      </c>
      <c r="D600">
        <v>8</v>
      </c>
      <c r="E600" t="str">
        <f>"447"</f>
        <v>447</v>
      </c>
      <c r="F600" t="str">
        <f t="shared" si="64"/>
        <v>0000</v>
      </c>
    </row>
    <row r="601" spans="1:6">
      <c r="A601" t="str">
        <f>"T578-26"</f>
        <v>T578-26</v>
      </c>
      <c r="B601" t="str">
        <f t="shared" si="66"/>
        <v>VIA CA DE MUSSI VICINO AL 9-</v>
      </c>
      <c r="C601" t="str">
        <f t="shared" si="65"/>
        <v>1</v>
      </c>
      <c r="D601">
        <v>8</v>
      </c>
      <c r="E601" t="str">
        <f>"448"</f>
        <v>448</v>
      </c>
      <c r="F601" t="str">
        <f t="shared" si="64"/>
        <v>0000</v>
      </c>
    </row>
    <row r="602" spans="1:6">
      <c r="A602" t="str">
        <f>"T578-27"</f>
        <v>T578-27</v>
      </c>
      <c r="B602" t="str">
        <f t="shared" si="66"/>
        <v>VIA CA DE MUSSI VICINO AL 9-</v>
      </c>
      <c r="C602" t="str">
        <f t="shared" si="65"/>
        <v>1</v>
      </c>
      <c r="D602">
        <v>8</v>
      </c>
      <c r="E602" t="str">
        <f>"99999"</f>
        <v>99999</v>
      </c>
      <c r="F602" t="str">
        <f t="shared" si="64"/>
        <v>0000</v>
      </c>
    </row>
    <row r="603" spans="1:6">
      <c r="A603" t="str">
        <f>"T578-28"</f>
        <v>T578-28</v>
      </c>
      <c r="B603" t="str">
        <f t="shared" si="66"/>
        <v>VIA CA DE MUSSI VICINO AL 9-</v>
      </c>
      <c r="C603" t="str">
        <f t="shared" ref="C603:C621" si="67">"1"</f>
        <v>1</v>
      </c>
      <c r="D603">
        <v>8</v>
      </c>
      <c r="E603" t="str">
        <f>"99999"</f>
        <v>99999</v>
      </c>
      <c r="F603" t="str">
        <f t="shared" si="64"/>
        <v>0000</v>
      </c>
    </row>
    <row r="604" spans="1:6">
      <c r="A604" t="str">
        <f>"T578-29"</f>
        <v>T578-29</v>
      </c>
      <c r="B604" t="str">
        <f t="shared" si="66"/>
        <v>VIA CA DE MUSSI VICINO AL 9-</v>
      </c>
      <c r="C604" t="str">
        <f t="shared" si="67"/>
        <v>1</v>
      </c>
      <c r="D604">
        <v>8</v>
      </c>
      <c r="E604" t="str">
        <f>"466"</f>
        <v>466</v>
      </c>
      <c r="F604" t="str">
        <f t="shared" si="64"/>
        <v>0000</v>
      </c>
    </row>
    <row r="605" spans="1:6">
      <c r="A605" t="str">
        <f>"T578-30"</f>
        <v>T578-30</v>
      </c>
      <c r="B605" t="str">
        <f t="shared" si="66"/>
        <v>VIA CA DE MUSSI VICINO AL 9-</v>
      </c>
      <c r="C605" t="str">
        <f t="shared" si="67"/>
        <v>1</v>
      </c>
      <c r="D605">
        <v>8</v>
      </c>
      <c r="E605" t="str">
        <f>"195"</f>
        <v>195</v>
      </c>
      <c r="F605" t="str">
        <f t="shared" si="64"/>
        <v>0000</v>
      </c>
    </row>
    <row r="606" spans="1:6">
      <c r="A606" t="str">
        <f>"T578-31"</f>
        <v>T578-31</v>
      </c>
      <c r="B606" t="str">
        <f t="shared" si="66"/>
        <v>VIA CA DE MUSSI VICINO AL 9-</v>
      </c>
      <c r="C606" t="str">
        <f t="shared" si="67"/>
        <v>1</v>
      </c>
      <c r="D606">
        <v>8</v>
      </c>
      <c r="E606" t="str">
        <f>"510"</f>
        <v>510</v>
      </c>
      <c r="F606" t="str">
        <f t="shared" si="64"/>
        <v>0000</v>
      </c>
    </row>
    <row r="607" spans="1:6">
      <c r="A607" t="str">
        <f>"T578-32"</f>
        <v>T578-32</v>
      </c>
      <c r="B607" t="str">
        <f t="shared" si="66"/>
        <v>VIA CA DE MUSSI VICINO AL 9-</v>
      </c>
      <c r="C607" t="str">
        <f t="shared" si="67"/>
        <v>1</v>
      </c>
      <c r="D607">
        <v>8</v>
      </c>
      <c r="E607" t="str">
        <f>"222"</f>
        <v>222</v>
      </c>
      <c r="F607" t="str">
        <f t="shared" si="64"/>
        <v>0000</v>
      </c>
    </row>
    <row r="608" spans="1:6">
      <c r="A608" t="str">
        <f>"T578-33"</f>
        <v>T578-33</v>
      </c>
      <c r="B608" t="str">
        <f t="shared" si="66"/>
        <v>VIA CA DE MUSSI VICINO AL 9-</v>
      </c>
      <c r="C608" t="str">
        <f t="shared" si="67"/>
        <v>1</v>
      </c>
      <c r="D608">
        <v>8</v>
      </c>
      <c r="E608" t="str">
        <f>"269"</f>
        <v>269</v>
      </c>
      <c r="F608" t="str">
        <f t="shared" si="64"/>
        <v>0000</v>
      </c>
    </row>
    <row r="609" spans="1:6">
      <c r="A609" t="str">
        <f>"T578-34"</f>
        <v>T578-34</v>
      </c>
      <c r="B609" t="str">
        <f t="shared" si="66"/>
        <v>VIA CA DE MUSSI VICINO AL 9-</v>
      </c>
      <c r="C609" t="str">
        <f t="shared" si="67"/>
        <v>1</v>
      </c>
      <c r="D609">
        <v>8</v>
      </c>
      <c r="E609" t="str">
        <f>"477"</f>
        <v>477</v>
      </c>
      <c r="F609" t="str">
        <f t="shared" si="64"/>
        <v>0000</v>
      </c>
    </row>
    <row r="610" spans="1:6">
      <c r="A610" t="str">
        <f>"T578-35"</f>
        <v>T578-35</v>
      </c>
      <c r="B610" t="str">
        <f t="shared" si="66"/>
        <v>VIA CA DE MUSSI VICINO AL 9-</v>
      </c>
      <c r="C610" t="str">
        <f t="shared" si="67"/>
        <v>1</v>
      </c>
      <c r="D610">
        <v>8</v>
      </c>
      <c r="E610" t="str">
        <f>"476"</f>
        <v>476</v>
      </c>
      <c r="F610" t="str">
        <f t="shared" si="64"/>
        <v>0000</v>
      </c>
    </row>
    <row r="611" spans="1:6">
      <c r="A611" t="str">
        <f>"T578-36"</f>
        <v>T578-36</v>
      </c>
      <c r="B611" t="str">
        <f t="shared" si="66"/>
        <v>VIA CA DE MUSSI VICINO AL 9-</v>
      </c>
      <c r="C611" t="str">
        <f t="shared" si="67"/>
        <v>1</v>
      </c>
      <c r="D611">
        <v>8</v>
      </c>
      <c r="E611" t="str">
        <f>"219"</f>
        <v>219</v>
      </c>
      <c r="F611" t="str">
        <f t="shared" si="64"/>
        <v>0000</v>
      </c>
    </row>
    <row r="612" spans="1:6">
      <c r="A612" t="str">
        <f>"T579-1"</f>
        <v>T579-1</v>
      </c>
      <c r="B612" t="str">
        <f>"VIA DELLE BANCHELLE VICINO AL 21A-"</f>
        <v>VIA DELLE BANCHELLE VICINO AL 21A-</v>
      </c>
      <c r="C612" t="str">
        <f t="shared" si="67"/>
        <v>1</v>
      </c>
      <c r="D612">
        <v>8</v>
      </c>
      <c r="E612" t="str">
        <f>"858"</f>
        <v>858</v>
      </c>
      <c r="F612" t="str">
        <f t="shared" si="64"/>
        <v>0000</v>
      </c>
    </row>
    <row r="613" spans="1:6">
      <c r="A613" t="str">
        <f>"T579-2"</f>
        <v>T579-2</v>
      </c>
      <c r="B613" t="str">
        <f>"VIA DELLE BANCHELLE VICINO AL 21A-"</f>
        <v>VIA DELLE BANCHELLE VICINO AL 21A-</v>
      </c>
      <c r="C613" t="str">
        <f t="shared" si="67"/>
        <v>1</v>
      </c>
      <c r="D613">
        <v>8</v>
      </c>
      <c r="E613" t="str">
        <f>"857"</f>
        <v>857</v>
      </c>
      <c r="F613" t="str">
        <f t="shared" si="64"/>
        <v>0000</v>
      </c>
    </row>
    <row r="614" spans="1:6">
      <c r="A614" t="str">
        <f>"T579-3"</f>
        <v>T579-3</v>
      </c>
      <c r="B614" t="str">
        <f>"VIA DELLE BANCHELLE VICINO AL 21A-"</f>
        <v>VIA DELLE BANCHELLE VICINO AL 21A-</v>
      </c>
      <c r="C614" t="str">
        <f t="shared" si="67"/>
        <v>1</v>
      </c>
      <c r="D614">
        <v>8</v>
      </c>
      <c r="E614" t="str">
        <f>"208"</f>
        <v>208</v>
      </c>
      <c r="F614" t="str">
        <f t="shared" si="64"/>
        <v>0000</v>
      </c>
    </row>
    <row r="615" spans="1:6">
      <c r="A615" t="str">
        <f>"T579-4"</f>
        <v>T579-4</v>
      </c>
      <c r="B615" t="str">
        <f>"VIA DELLE BANCHELLE VICINO AL 21A-"</f>
        <v>VIA DELLE BANCHELLE VICINO AL 21A-</v>
      </c>
      <c r="C615" t="str">
        <f t="shared" si="67"/>
        <v>1</v>
      </c>
      <c r="D615">
        <v>8</v>
      </c>
      <c r="E615" t="str">
        <f>"209"</f>
        <v>209</v>
      </c>
      <c r="F615" t="str">
        <f t="shared" si="64"/>
        <v>0000</v>
      </c>
    </row>
    <row r="616" spans="1:6">
      <c r="A616" t="str">
        <f>"T580-1"</f>
        <v>T580-1</v>
      </c>
      <c r="B616" t="str">
        <f t="shared" ref="B616:B621" si="68">"VIA CA DE MUSSI VICINO AL 7-"</f>
        <v>VIA CA DE MUSSI VICINO AL 7-</v>
      </c>
      <c r="C616" t="str">
        <f t="shared" si="67"/>
        <v>1</v>
      </c>
      <c r="D616">
        <v>8</v>
      </c>
      <c r="E616" t="str">
        <f>"A"</f>
        <v>A</v>
      </c>
      <c r="F616" t="str">
        <f t="shared" si="64"/>
        <v>0000</v>
      </c>
    </row>
    <row r="617" spans="1:6">
      <c r="A617" t="str">
        <f>"T580-2"</f>
        <v>T580-2</v>
      </c>
      <c r="B617" t="str">
        <f t="shared" si="68"/>
        <v>VIA CA DE MUSSI VICINO AL 7-</v>
      </c>
      <c r="C617" t="str">
        <f t="shared" si="67"/>
        <v>1</v>
      </c>
      <c r="D617">
        <v>8</v>
      </c>
      <c r="E617" t="str">
        <f>"857"</f>
        <v>857</v>
      </c>
      <c r="F617" t="str">
        <f t="shared" ref="F617:F623" si="69">"0000"</f>
        <v>0000</v>
      </c>
    </row>
    <row r="618" spans="1:6">
      <c r="A618" t="str">
        <f>"T580-3"</f>
        <v>T580-3</v>
      </c>
      <c r="B618" t="str">
        <f t="shared" si="68"/>
        <v>VIA CA DE MUSSI VICINO AL 7-</v>
      </c>
      <c r="C618" t="str">
        <f t="shared" si="67"/>
        <v>1</v>
      </c>
      <c r="D618">
        <v>8</v>
      </c>
      <c r="E618" t="str">
        <f>"229"</f>
        <v>229</v>
      </c>
      <c r="F618" t="str">
        <f t="shared" si="69"/>
        <v>0000</v>
      </c>
    </row>
    <row r="619" spans="1:6">
      <c r="A619" t="str">
        <f>"T580-4"</f>
        <v>T580-4</v>
      </c>
      <c r="B619" t="str">
        <f t="shared" si="68"/>
        <v>VIA CA DE MUSSI VICINO AL 7-</v>
      </c>
      <c r="C619" t="str">
        <f t="shared" si="67"/>
        <v>1</v>
      </c>
      <c r="D619">
        <v>8</v>
      </c>
      <c r="E619" t="str">
        <f>"230"</f>
        <v>230</v>
      </c>
      <c r="F619" t="str">
        <f t="shared" si="69"/>
        <v>0000</v>
      </c>
    </row>
    <row r="620" spans="1:6">
      <c r="A620" t="str">
        <f>"T580-5"</f>
        <v>T580-5</v>
      </c>
      <c r="B620" t="str">
        <f t="shared" si="68"/>
        <v>VIA CA DE MUSSI VICINO AL 7-</v>
      </c>
      <c r="C620" t="str">
        <f t="shared" si="67"/>
        <v>1</v>
      </c>
      <c r="D620">
        <v>8</v>
      </c>
      <c r="E620" t="str">
        <f>"231"</f>
        <v>231</v>
      </c>
      <c r="F620" t="str">
        <f t="shared" si="69"/>
        <v>0000</v>
      </c>
    </row>
    <row r="621" spans="1:6">
      <c r="A621" t="str">
        <f>"T580-6"</f>
        <v>T580-6</v>
      </c>
      <c r="B621" t="str">
        <f t="shared" si="68"/>
        <v>VIA CA DE MUSSI VICINO AL 7-</v>
      </c>
      <c r="C621" t="str">
        <f t="shared" si="67"/>
        <v>1</v>
      </c>
      <c r="D621">
        <v>8</v>
      </c>
      <c r="E621" t="str">
        <f>"233"</f>
        <v>233</v>
      </c>
      <c r="F621" t="str">
        <f t="shared" si="69"/>
        <v>0000</v>
      </c>
    </row>
    <row r="622" spans="1:6">
      <c r="A622" t="str">
        <f>"T819-1"</f>
        <v>T819-1</v>
      </c>
      <c r="B622" t="str">
        <f>"PIAZZALE BLIGNY VICINO AL 3-"</f>
        <v>PIAZZALE BLIGNY VICINO AL 3-</v>
      </c>
      <c r="C622" t="str">
        <f>"5"</f>
        <v>5</v>
      </c>
      <c r="D622">
        <v>41</v>
      </c>
      <c r="E622" t="str">
        <f>"1168"</f>
        <v>1168</v>
      </c>
      <c r="F622" t="str">
        <f t="shared" si="69"/>
        <v>0000</v>
      </c>
    </row>
    <row r="623" spans="1:6">
      <c r="A623" t="str">
        <f>"T820-1"</f>
        <v>T820-1</v>
      </c>
      <c r="B623" t="str">
        <f>"VIA GELASIO ADAMOLI VICINO AL 9-"</f>
        <v>VIA GELASIO ADAMOLI VICINO AL 9-</v>
      </c>
      <c r="C623" t="str">
        <f>"5"</f>
        <v>5</v>
      </c>
      <c r="D623">
        <v>41</v>
      </c>
      <c r="E623" t="str">
        <f>"1166"</f>
        <v>1166</v>
      </c>
      <c r="F623" t="str">
        <f t="shared" si="69"/>
        <v>0000</v>
      </c>
    </row>
    <row r="624" spans="1:6">
      <c r="A624" t="str">
        <f>"T820-2"</f>
        <v>T820-2</v>
      </c>
      <c r="B624" t="str">
        <f>"VIA GELASIO ADAMOLI VICINO AL 9-"</f>
        <v>VIA GELASIO ADAMOLI VICINO AL 9-</v>
      </c>
      <c r="C624" t="str">
        <f>"5"</f>
        <v>5</v>
      </c>
      <c r="D624">
        <v>41</v>
      </c>
      <c r="E624" t="str">
        <f>"1446"</f>
        <v>1446</v>
      </c>
      <c r="F624" t="str">
        <f>"000"</f>
        <v>000</v>
      </c>
    </row>
    <row r="625" spans="1:6">
      <c r="A625" t="str">
        <f>"T867-1"</f>
        <v>T867-1</v>
      </c>
      <c r="B625" t="str">
        <f>"VIA BOBBIO VICINO AL 68-"</f>
        <v>VIA BOBBIO VICINO AL 68-</v>
      </c>
      <c r="C625" t="str">
        <f>"1"</f>
        <v>1</v>
      </c>
      <c r="D625">
        <v>8</v>
      </c>
      <c r="E625" t="str">
        <f>"282"</f>
        <v>282</v>
      </c>
      <c r="F625" t="str">
        <f>"0000"</f>
        <v>0000</v>
      </c>
    </row>
    <row r="626" spans="1:6">
      <c r="A626" t="str">
        <f>"T867-2"</f>
        <v>T867-2</v>
      </c>
      <c r="B626" t="str">
        <f>"VIA BOBBIO VICINO AL 68-"</f>
        <v>VIA BOBBIO VICINO AL 68-</v>
      </c>
      <c r="C626" t="str">
        <f>"1"</f>
        <v>1</v>
      </c>
      <c r="D626">
        <v>8</v>
      </c>
      <c r="E626" t="str">
        <f>"483"</f>
        <v>483</v>
      </c>
      <c r="F626" t="str">
        <f>"0000"</f>
        <v>0000</v>
      </c>
    </row>
    <row r="627" spans="1:6">
      <c r="A627" t="str">
        <f>"T1040-1"</f>
        <v>T1040-1</v>
      </c>
      <c r="B627" t="str">
        <f>"P.ZA CHIESA SANT EUSEBIO VICINO AL 4AR-"</f>
        <v>P.ZA CHIESA SANT EUSEBIO VICINO AL 4AR-</v>
      </c>
      <c r="C627" t="str">
        <f>"BAV"</f>
        <v>BAV</v>
      </c>
      <c r="D627">
        <v>43</v>
      </c>
      <c r="E627" t="str">
        <f>"350"</f>
        <v>350</v>
      </c>
      <c r="F627" t="str">
        <f>"0000"</f>
        <v>0000</v>
      </c>
    </row>
    <row r="628" spans="1:6">
      <c r="A628" t="str">
        <f>"T1046-1"</f>
        <v>T1046-1</v>
      </c>
      <c r="B628" t="str">
        <f>"VIA MOLASSANA VICINO AL 42-"</f>
        <v>VIA MOLASSANA VICINO AL 42-</v>
      </c>
      <c r="C628" t="str">
        <f>"MOL"</f>
        <v>MOL</v>
      </c>
      <c r="D628">
        <v>8</v>
      </c>
      <c r="E628" t="str">
        <f>"127"</f>
        <v>127</v>
      </c>
      <c r="F628" t="str">
        <f>"1"</f>
        <v>1</v>
      </c>
    </row>
    <row r="629" spans="1:6">
      <c r="A629" t="str">
        <f>"T1046-1"</f>
        <v>T1046-1</v>
      </c>
      <c r="B629" t="str">
        <f>"VIA MOLASSANA VICINO AL 42-"</f>
        <v>VIA MOLASSANA VICINO AL 42-</v>
      </c>
      <c r="C629" t="str">
        <f>"5"</f>
        <v>5</v>
      </c>
      <c r="D629">
        <v>8</v>
      </c>
      <c r="E629" t="str">
        <f>"127"</f>
        <v>127</v>
      </c>
      <c r="F629" t="str">
        <f t="shared" ref="F629:F668" si="70">"0000"</f>
        <v>0000</v>
      </c>
    </row>
    <row r="630" spans="1:6">
      <c r="A630" t="str">
        <f>"T1056-1"</f>
        <v>T1056-1</v>
      </c>
      <c r="B630" t="str">
        <f>"VIA STRUPPA VICINO AL 300-"</f>
        <v>VIA STRUPPA VICINO AL 300-</v>
      </c>
      <c r="C630" t="str">
        <f>"5"</f>
        <v>5</v>
      </c>
      <c r="D630">
        <v>36</v>
      </c>
      <c r="E630" t="str">
        <f>"758"</f>
        <v>758</v>
      </c>
      <c r="F630" t="str">
        <f t="shared" si="70"/>
        <v>0000</v>
      </c>
    </row>
    <row r="631" spans="1:6">
      <c r="A631" t="str">
        <f>"T1056-2"</f>
        <v>T1056-2</v>
      </c>
      <c r="B631" t="str">
        <f>"VIA STRUPPA VICINO AL 300-"</f>
        <v>VIA STRUPPA VICINO AL 300-</v>
      </c>
      <c r="C631" t="str">
        <f>"5"</f>
        <v>5</v>
      </c>
      <c r="D631">
        <v>36</v>
      </c>
      <c r="E631" t="str">
        <f>"760"</f>
        <v>760</v>
      </c>
      <c r="F631" t="str">
        <f t="shared" si="70"/>
        <v>0000</v>
      </c>
    </row>
    <row r="632" spans="1:6">
      <c r="A632" t="str">
        <f>"T1056-3"</f>
        <v>T1056-3</v>
      </c>
      <c r="B632" t="str">
        <f>"VIA STRUPPA VICINO AL 300-"</f>
        <v>VIA STRUPPA VICINO AL 300-</v>
      </c>
      <c r="C632" t="str">
        <f>"5"</f>
        <v>5</v>
      </c>
      <c r="D632">
        <v>36</v>
      </c>
      <c r="E632" t="str">
        <f>"212"</f>
        <v>212</v>
      </c>
      <c r="F632" t="str">
        <f t="shared" si="70"/>
        <v>0000</v>
      </c>
    </row>
    <row r="633" spans="1:6">
      <c r="A633" t="str">
        <f>"T1070-1"</f>
        <v>T1070-1</v>
      </c>
      <c r="B633" t="str">
        <f t="shared" ref="B633:B643" si="71">"VIA MONTE ROSA VICINO AL 80-"</f>
        <v>VIA MONTE ROSA VICINO AL 80-</v>
      </c>
      <c r="C633" t="str">
        <f t="shared" ref="C633:C643" si="72">"1"</f>
        <v>1</v>
      </c>
      <c r="D633">
        <v>20</v>
      </c>
      <c r="E633" t="str">
        <f>"27"</f>
        <v>27</v>
      </c>
      <c r="F633" t="str">
        <f t="shared" si="70"/>
        <v>0000</v>
      </c>
    </row>
    <row r="634" spans="1:6">
      <c r="A634" t="str">
        <f>"T1070-2"</f>
        <v>T1070-2</v>
      </c>
      <c r="B634" t="str">
        <f t="shared" si="71"/>
        <v>VIA MONTE ROSA VICINO AL 80-</v>
      </c>
      <c r="C634" t="str">
        <f t="shared" si="72"/>
        <v>1</v>
      </c>
      <c r="D634">
        <v>20</v>
      </c>
      <c r="E634" t="str">
        <f>"28"</f>
        <v>28</v>
      </c>
      <c r="F634" t="str">
        <f t="shared" si="70"/>
        <v>0000</v>
      </c>
    </row>
    <row r="635" spans="1:6">
      <c r="A635" t="str">
        <f>"T1070-3"</f>
        <v>T1070-3</v>
      </c>
      <c r="B635" t="str">
        <f t="shared" si="71"/>
        <v>VIA MONTE ROSA VICINO AL 80-</v>
      </c>
      <c r="C635" t="str">
        <f t="shared" si="72"/>
        <v>1</v>
      </c>
      <c r="D635">
        <v>20</v>
      </c>
      <c r="E635" t="str">
        <f>"29"</f>
        <v>29</v>
      </c>
      <c r="F635" t="str">
        <f t="shared" si="70"/>
        <v>0000</v>
      </c>
    </row>
    <row r="636" spans="1:6">
      <c r="A636" t="str">
        <f>"T1070-4"</f>
        <v>T1070-4</v>
      </c>
      <c r="B636" t="str">
        <f t="shared" si="71"/>
        <v>VIA MONTE ROSA VICINO AL 80-</v>
      </c>
      <c r="C636" t="str">
        <f t="shared" si="72"/>
        <v>1</v>
      </c>
      <c r="D636">
        <v>20</v>
      </c>
      <c r="E636" t="str">
        <f>"30"</f>
        <v>30</v>
      </c>
      <c r="F636" t="str">
        <f t="shared" si="70"/>
        <v>0000</v>
      </c>
    </row>
    <row r="637" spans="1:6">
      <c r="A637" t="str">
        <f>"T1070-5"</f>
        <v>T1070-5</v>
      </c>
      <c r="B637" t="str">
        <f t="shared" si="71"/>
        <v>VIA MONTE ROSA VICINO AL 80-</v>
      </c>
      <c r="C637" t="str">
        <f t="shared" si="72"/>
        <v>1</v>
      </c>
      <c r="D637">
        <v>20</v>
      </c>
      <c r="E637" t="str">
        <f>"62"</f>
        <v>62</v>
      </c>
      <c r="F637" t="str">
        <f t="shared" si="70"/>
        <v>0000</v>
      </c>
    </row>
    <row r="638" spans="1:6">
      <c r="A638" t="str">
        <f>"T1070-6"</f>
        <v>T1070-6</v>
      </c>
      <c r="B638" t="str">
        <f t="shared" si="71"/>
        <v>VIA MONTE ROSA VICINO AL 80-</v>
      </c>
      <c r="C638" t="str">
        <f t="shared" si="72"/>
        <v>1</v>
      </c>
      <c r="D638">
        <v>20</v>
      </c>
      <c r="E638" t="str">
        <f>"63"</f>
        <v>63</v>
      </c>
      <c r="F638" t="str">
        <f t="shared" si="70"/>
        <v>0000</v>
      </c>
    </row>
    <row r="639" spans="1:6">
      <c r="A639" t="str">
        <f>"T1070-7"</f>
        <v>T1070-7</v>
      </c>
      <c r="B639" t="str">
        <f t="shared" si="71"/>
        <v>VIA MONTE ROSA VICINO AL 80-</v>
      </c>
      <c r="C639" t="str">
        <f t="shared" si="72"/>
        <v>1</v>
      </c>
      <c r="D639">
        <v>20</v>
      </c>
      <c r="E639" t="str">
        <f>"64"</f>
        <v>64</v>
      </c>
      <c r="F639" t="str">
        <f t="shared" si="70"/>
        <v>0000</v>
      </c>
    </row>
    <row r="640" spans="1:6">
      <c r="A640" t="str">
        <f>"T1070-8"</f>
        <v>T1070-8</v>
      </c>
      <c r="B640" t="str">
        <f t="shared" si="71"/>
        <v>VIA MONTE ROSA VICINO AL 80-</v>
      </c>
      <c r="C640" t="str">
        <f t="shared" si="72"/>
        <v>1</v>
      </c>
      <c r="D640">
        <v>20</v>
      </c>
      <c r="E640" t="str">
        <f>"65"</f>
        <v>65</v>
      </c>
      <c r="F640" t="str">
        <f t="shared" si="70"/>
        <v>0000</v>
      </c>
    </row>
    <row r="641" spans="1:6">
      <c r="A641" t="str">
        <f>"T1070-9"</f>
        <v>T1070-9</v>
      </c>
      <c r="B641" t="str">
        <f t="shared" si="71"/>
        <v>VIA MONTE ROSA VICINO AL 80-</v>
      </c>
      <c r="C641" t="str">
        <f t="shared" si="72"/>
        <v>1</v>
      </c>
      <c r="D641">
        <v>20</v>
      </c>
      <c r="E641" t="str">
        <f>"569"</f>
        <v>569</v>
      </c>
      <c r="F641" t="str">
        <f t="shared" si="70"/>
        <v>0000</v>
      </c>
    </row>
    <row r="642" spans="1:6">
      <c r="A642" t="str">
        <f>"T1070-9"</f>
        <v>T1070-9</v>
      </c>
      <c r="B642" t="str">
        <f t="shared" si="71"/>
        <v>VIA MONTE ROSA VICINO AL 80-</v>
      </c>
      <c r="C642" t="str">
        <f t="shared" si="72"/>
        <v>1</v>
      </c>
      <c r="D642">
        <v>20</v>
      </c>
      <c r="E642" t="str">
        <f>"108"</f>
        <v>108</v>
      </c>
      <c r="F642" t="str">
        <f t="shared" si="70"/>
        <v>0000</v>
      </c>
    </row>
    <row r="643" spans="1:6">
      <c r="A643" t="str">
        <f>"T1070-10"</f>
        <v>T1070-10</v>
      </c>
      <c r="B643" t="str">
        <f t="shared" si="71"/>
        <v>VIA MONTE ROSA VICINO AL 80-</v>
      </c>
      <c r="C643" t="str">
        <f t="shared" si="72"/>
        <v>1</v>
      </c>
      <c r="D643">
        <v>20</v>
      </c>
      <c r="E643" t="str">
        <f>"569"</f>
        <v>569</v>
      </c>
      <c r="F643" t="str">
        <f t="shared" si="70"/>
        <v>0000</v>
      </c>
    </row>
    <row r="644" spans="1:6">
      <c r="A644" t="str">
        <f>"T1072-1"</f>
        <v>T1072-1</v>
      </c>
      <c r="B644" t="str">
        <f t="shared" ref="B644:B657" si="73">"VIA RUBALDO MERELLO VICINO AL 3E-"</f>
        <v>VIA RUBALDO MERELLO VICINO AL 3E-</v>
      </c>
      <c r="C644" t="str">
        <f t="shared" ref="C644:C660" si="74">"5"</f>
        <v>5</v>
      </c>
      <c r="D644">
        <v>40</v>
      </c>
      <c r="E644" t="str">
        <f>"524"</f>
        <v>524</v>
      </c>
      <c r="F644" t="str">
        <f t="shared" si="70"/>
        <v>0000</v>
      </c>
    </row>
    <row r="645" spans="1:6">
      <c r="A645" t="str">
        <f>"T1072-2"</f>
        <v>T1072-2</v>
      </c>
      <c r="B645" t="str">
        <f t="shared" si="73"/>
        <v>VIA RUBALDO MERELLO VICINO AL 3E-</v>
      </c>
      <c r="C645" t="str">
        <f t="shared" si="74"/>
        <v>5</v>
      </c>
      <c r="D645">
        <v>40</v>
      </c>
      <c r="E645" t="str">
        <f>"517"</f>
        <v>517</v>
      </c>
      <c r="F645" t="str">
        <f t="shared" si="70"/>
        <v>0000</v>
      </c>
    </row>
    <row r="646" spans="1:6">
      <c r="A646" t="str">
        <f>"T1072-3"</f>
        <v>T1072-3</v>
      </c>
      <c r="B646" t="str">
        <f t="shared" si="73"/>
        <v>VIA RUBALDO MERELLO VICINO AL 3E-</v>
      </c>
      <c r="C646" t="str">
        <f t="shared" si="74"/>
        <v>5</v>
      </c>
      <c r="D646">
        <v>40</v>
      </c>
      <c r="E646" t="str">
        <f>"518"</f>
        <v>518</v>
      </c>
      <c r="F646" t="str">
        <f t="shared" si="70"/>
        <v>0000</v>
      </c>
    </row>
    <row r="647" spans="1:6">
      <c r="A647" t="str">
        <f>"T1072-4"</f>
        <v>T1072-4</v>
      </c>
      <c r="B647" t="str">
        <f t="shared" si="73"/>
        <v>VIA RUBALDO MERELLO VICINO AL 3E-</v>
      </c>
      <c r="C647" t="str">
        <f t="shared" si="74"/>
        <v>5</v>
      </c>
      <c r="D647">
        <v>40</v>
      </c>
      <c r="E647" t="str">
        <f>"538"</f>
        <v>538</v>
      </c>
      <c r="F647" t="str">
        <f t="shared" si="70"/>
        <v>0000</v>
      </c>
    </row>
    <row r="648" spans="1:6">
      <c r="A648" t="str">
        <f>"T1072-5"</f>
        <v>T1072-5</v>
      </c>
      <c r="B648" t="str">
        <f t="shared" si="73"/>
        <v>VIA RUBALDO MERELLO VICINO AL 3E-</v>
      </c>
      <c r="C648" t="str">
        <f t="shared" si="74"/>
        <v>5</v>
      </c>
      <c r="D648">
        <v>40</v>
      </c>
      <c r="E648" t="str">
        <f>"515"</f>
        <v>515</v>
      </c>
      <c r="F648" t="str">
        <f t="shared" si="70"/>
        <v>0000</v>
      </c>
    </row>
    <row r="649" spans="1:6">
      <c r="A649" t="str">
        <f>"T1072-6"</f>
        <v>T1072-6</v>
      </c>
      <c r="B649" t="str">
        <f t="shared" si="73"/>
        <v>VIA RUBALDO MERELLO VICINO AL 3E-</v>
      </c>
      <c r="C649" t="str">
        <f t="shared" si="74"/>
        <v>5</v>
      </c>
      <c r="D649">
        <v>40</v>
      </c>
      <c r="E649" t="str">
        <f>"530"</f>
        <v>530</v>
      </c>
      <c r="F649" t="str">
        <f t="shared" si="70"/>
        <v>0000</v>
      </c>
    </row>
    <row r="650" spans="1:6">
      <c r="A650" t="str">
        <f>"T1072-7"</f>
        <v>T1072-7</v>
      </c>
      <c r="B650" t="str">
        <f t="shared" si="73"/>
        <v>VIA RUBALDO MERELLO VICINO AL 3E-</v>
      </c>
      <c r="C650" t="str">
        <f t="shared" si="74"/>
        <v>5</v>
      </c>
      <c r="D650">
        <v>40</v>
      </c>
      <c r="E650" t="str">
        <f>"532"</f>
        <v>532</v>
      </c>
      <c r="F650" t="str">
        <f t="shared" si="70"/>
        <v>0000</v>
      </c>
    </row>
    <row r="651" spans="1:6">
      <c r="A651" t="str">
        <f>"T1072-8"</f>
        <v>T1072-8</v>
      </c>
      <c r="B651" t="str">
        <f t="shared" si="73"/>
        <v>VIA RUBALDO MERELLO VICINO AL 3E-</v>
      </c>
      <c r="C651" t="str">
        <f t="shared" si="74"/>
        <v>5</v>
      </c>
      <c r="D651">
        <v>40</v>
      </c>
      <c r="E651" t="str">
        <f>"534"</f>
        <v>534</v>
      </c>
      <c r="F651" t="str">
        <f t="shared" si="70"/>
        <v>0000</v>
      </c>
    </row>
    <row r="652" spans="1:6">
      <c r="A652" t="str">
        <f>"T1072-9"</f>
        <v>T1072-9</v>
      </c>
      <c r="B652" t="str">
        <f t="shared" si="73"/>
        <v>VIA RUBALDO MERELLO VICINO AL 3E-</v>
      </c>
      <c r="C652" t="str">
        <f t="shared" si="74"/>
        <v>5</v>
      </c>
      <c r="D652">
        <v>40</v>
      </c>
      <c r="E652" t="str">
        <f>"536"</f>
        <v>536</v>
      </c>
      <c r="F652" t="str">
        <f t="shared" si="70"/>
        <v>0000</v>
      </c>
    </row>
    <row r="653" spans="1:6">
      <c r="A653" t="str">
        <f>"T1072-10"</f>
        <v>T1072-10</v>
      </c>
      <c r="B653" t="str">
        <f t="shared" si="73"/>
        <v>VIA RUBALDO MERELLO VICINO AL 3E-</v>
      </c>
      <c r="C653" t="str">
        <f t="shared" si="74"/>
        <v>5</v>
      </c>
      <c r="D653">
        <v>40</v>
      </c>
      <c r="E653" t="str">
        <f>"239"</f>
        <v>239</v>
      </c>
      <c r="F653" t="str">
        <f t="shared" si="70"/>
        <v>0000</v>
      </c>
    </row>
    <row r="654" spans="1:6">
      <c r="A654" t="str">
        <f>"T1072-11"</f>
        <v>T1072-11</v>
      </c>
      <c r="B654" t="str">
        <f t="shared" si="73"/>
        <v>VIA RUBALDO MERELLO VICINO AL 3E-</v>
      </c>
      <c r="C654" t="str">
        <f t="shared" si="74"/>
        <v>5</v>
      </c>
      <c r="D654">
        <v>40</v>
      </c>
      <c r="E654" t="str">
        <f>"528"</f>
        <v>528</v>
      </c>
      <c r="F654" t="str">
        <f t="shared" si="70"/>
        <v>0000</v>
      </c>
    </row>
    <row r="655" spans="1:6">
      <c r="A655" t="str">
        <f>"T1072-12"</f>
        <v>T1072-12</v>
      </c>
      <c r="B655" t="str">
        <f t="shared" si="73"/>
        <v>VIA RUBALDO MERELLO VICINO AL 3E-</v>
      </c>
      <c r="C655" t="str">
        <f t="shared" si="74"/>
        <v>5</v>
      </c>
      <c r="D655">
        <v>41</v>
      </c>
      <c r="E655" t="str">
        <f>"1199"</f>
        <v>1199</v>
      </c>
      <c r="F655" t="str">
        <f t="shared" si="70"/>
        <v>0000</v>
      </c>
    </row>
    <row r="656" spans="1:6">
      <c r="A656" t="str">
        <f>"T1072-13"</f>
        <v>T1072-13</v>
      </c>
      <c r="B656" t="str">
        <f t="shared" si="73"/>
        <v>VIA RUBALDO MERELLO VICINO AL 3E-</v>
      </c>
      <c r="C656" t="str">
        <f t="shared" si="74"/>
        <v>5</v>
      </c>
      <c r="D656">
        <v>40</v>
      </c>
      <c r="E656" t="str">
        <f>"522"</f>
        <v>522</v>
      </c>
      <c r="F656" t="str">
        <f t="shared" si="70"/>
        <v>0000</v>
      </c>
    </row>
    <row r="657" spans="1:6">
      <c r="A657" t="str">
        <f>"T1072-14"</f>
        <v>T1072-14</v>
      </c>
      <c r="B657" t="str">
        <f t="shared" si="73"/>
        <v>VIA RUBALDO MERELLO VICINO AL 3E-</v>
      </c>
      <c r="C657" t="str">
        <f t="shared" si="74"/>
        <v>5</v>
      </c>
      <c r="D657">
        <v>40</v>
      </c>
      <c r="E657" t="str">
        <f>"520"</f>
        <v>520</v>
      </c>
      <c r="F657" t="str">
        <f t="shared" si="70"/>
        <v>0000</v>
      </c>
    </row>
    <row r="658" spans="1:6">
      <c r="A658" t="str">
        <f>"T1077-1"</f>
        <v>T1077-1</v>
      </c>
      <c r="B658" t="str">
        <f>"VIA LIGORNA VICINO AL 10-"</f>
        <v>VIA LIGORNA VICINO AL 10-</v>
      </c>
      <c r="C658" t="str">
        <f t="shared" si="74"/>
        <v>5</v>
      </c>
      <c r="D658">
        <v>32</v>
      </c>
      <c r="E658" t="str">
        <f>"255"</f>
        <v>255</v>
      </c>
      <c r="F658" t="str">
        <f t="shared" si="70"/>
        <v>0000</v>
      </c>
    </row>
    <row r="659" spans="1:6">
      <c r="A659" t="str">
        <f>"T1077-2"</f>
        <v>T1077-2</v>
      </c>
      <c r="B659" t="str">
        <f>"VIA LIGORNA VICINO AL 10-"</f>
        <v>VIA LIGORNA VICINO AL 10-</v>
      </c>
      <c r="C659" t="str">
        <f t="shared" si="74"/>
        <v>5</v>
      </c>
      <c r="D659">
        <v>32</v>
      </c>
      <c r="E659" t="str">
        <f>"256"</f>
        <v>256</v>
      </c>
      <c r="F659" t="str">
        <f t="shared" si="70"/>
        <v>0000</v>
      </c>
    </row>
    <row r="660" spans="1:6">
      <c r="A660" t="str">
        <f>"T1084-1"</f>
        <v>T1084-1</v>
      </c>
      <c r="B660" t="str">
        <f>"VIA ENRICO BUSCAGLIA VICINO AL 2-"</f>
        <v>VIA ENRICO BUSCAGLIA VICINO AL 2-</v>
      </c>
      <c r="C660" t="str">
        <f t="shared" si="74"/>
        <v>5</v>
      </c>
      <c r="D660">
        <v>33</v>
      </c>
      <c r="E660" t="str">
        <f>"984"</f>
        <v>984</v>
      </c>
      <c r="F660" t="str">
        <f t="shared" si="70"/>
        <v>0000</v>
      </c>
    </row>
    <row r="661" spans="1:6">
      <c r="A661" t="str">
        <f>"T1088-1"</f>
        <v>T1088-1</v>
      </c>
      <c r="B661" t="str">
        <f>"VIA GIULIA DE VINCENZI  35-"</f>
        <v>VIA GIULIA DE VINCENZI  35-</v>
      </c>
      <c r="C661" t="str">
        <f>"1"</f>
        <v>1</v>
      </c>
      <c r="D661">
        <v>2</v>
      </c>
      <c r="E661" t="str">
        <f>"1621"</f>
        <v>1621</v>
      </c>
      <c r="F661" t="str">
        <f t="shared" si="70"/>
        <v>0000</v>
      </c>
    </row>
    <row r="662" spans="1:6">
      <c r="A662" t="str">
        <f>"T1099-1"</f>
        <v>T1099-1</v>
      </c>
      <c r="B662" t="str">
        <f>"VIA MOGADISCIO VICINO AL 34-"</f>
        <v>VIA MOGADISCIO VICINO AL 34-</v>
      </c>
      <c r="C662" t="str">
        <f>"5"</f>
        <v>5</v>
      </c>
      <c r="D662">
        <v>42</v>
      </c>
      <c r="E662" t="str">
        <f>"A"</f>
        <v>A</v>
      </c>
      <c r="F662" t="str">
        <f t="shared" si="70"/>
        <v>0000</v>
      </c>
    </row>
    <row r="663" spans="1:6">
      <c r="A663" t="str">
        <f>"T1106-1"</f>
        <v>T1106-1</v>
      </c>
      <c r="B663" t="str">
        <f>"VIA STRUPPA  148-"</f>
        <v>VIA STRUPPA  148-</v>
      </c>
      <c r="C663" t="str">
        <f>"STR"</f>
        <v>STR</v>
      </c>
      <c r="D663">
        <v>33</v>
      </c>
      <c r="E663" t="str">
        <f>"1233"</f>
        <v>1233</v>
      </c>
      <c r="F663" t="str">
        <f t="shared" si="70"/>
        <v>0000</v>
      </c>
    </row>
    <row r="664" spans="1:6">
      <c r="A664" t="str">
        <f>"T1107-1"</f>
        <v>T1107-1</v>
      </c>
      <c r="B664" t="str">
        <f>"VIA STRUPPA  150-"</f>
        <v>VIA STRUPPA  150-</v>
      </c>
      <c r="C664" t="str">
        <f>"5"</f>
        <v>5</v>
      </c>
      <c r="D664">
        <v>33</v>
      </c>
      <c r="E664" t="str">
        <f>"1221"</f>
        <v>1221</v>
      </c>
      <c r="F664" t="str">
        <f t="shared" si="70"/>
        <v>0000</v>
      </c>
    </row>
    <row r="665" spans="1:6">
      <c r="A665" t="str">
        <f>"T1107-2"</f>
        <v>T1107-2</v>
      </c>
      <c r="B665" t="str">
        <f>"VIA STRUPPA  150-"</f>
        <v>VIA STRUPPA  150-</v>
      </c>
      <c r="C665" t="str">
        <f>"5"</f>
        <v>5</v>
      </c>
      <c r="D665">
        <v>33</v>
      </c>
      <c r="E665" t="str">
        <f>"294"</f>
        <v>294</v>
      </c>
      <c r="F665" t="str">
        <f t="shared" si="70"/>
        <v>0000</v>
      </c>
    </row>
    <row r="666" spans="1:6">
      <c r="A666" t="str">
        <f>"T1107-3"</f>
        <v>T1107-3</v>
      </c>
      <c r="B666" t="str">
        <f>"VIA STRUPPA  150-"</f>
        <v>VIA STRUPPA  150-</v>
      </c>
      <c r="C666" t="str">
        <f>"5"</f>
        <v>5</v>
      </c>
      <c r="D666">
        <v>33</v>
      </c>
      <c r="E666" t="str">
        <f>"1222"</f>
        <v>1222</v>
      </c>
      <c r="F666" t="str">
        <f t="shared" si="70"/>
        <v>0000</v>
      </c>
    </row>
    <row r="667" spans="1:6">
      <c r="A667" t="str">
        <f>"T1107-4"</f>
        <v>T1107-4</v>
      </c>
      <c r="B667" t="str">
        <f>"VIA STRUPPA  150-"</f>
        <v>VIA STRUPPA  150-</v>
      </c>
      <c r="C667" t="str">
        <f>"5"</f>
        <v>5</v>
      </c>
      <c r="D667">
        <v>33</v>
      </c>
      <c r="E667" t="str">
        <f>"1164"</f>
        <v>1164</v>
      </c>
      <c r="F667" t="str">
        <f t="shared" si="70"/>
        <v>0000</v>
      </c>
    </row>
    <row r="668" spans="1:6">
      <c r="A668" t="str">
        <f>"T1107-5"</f>
        <v>T1107-5</v>
      </c>
      <c r="B668" t="str">
        <f>"VIA STRUPPA  150-"</f>
        <v>VIA STRUPPA  150-</v>
      </c>
      <c r="C668" t="str">
        <f>"STR"</f>
        <v>STR</v>
      </c>
      <c r="D668">
        <v>33</v>
      </c>
      <c r="E668" t="str">
        <f>"1216"</f>
        <v>1216</v>
      </c>
      <c r="F668" t="str">
        <f t="shared" si="70"/>
        <v>0000</v>
      </c>
    </row>
    <row r="669" spans="1:6">
      <c r="A669" t="str">
        <f>"T1110-1"</f>
        <v>T1110-1</v>
      </c>
      <c r="B669" t="str">
        <f>"VIA DELLE GAVETTE VICINO AL 25-"</f>
        <v>VIA DELLE GAVETTE VICINO AL 25-</v>
      </c>
      <c r="C669" t="str">
        <f>"STA"</f>
        <v>STA</v>
      </c>
      <c r="D669">
        <v>24</v>
      </c>
      <c r="E669" t="str">
        <f>"250"</f>
        <v>250</v>
      </c>
      <c r="F669" t="str">
        <f>"4"</f>
        <v>4</v>
      </c>
    </row>
    <row r="670" spans="1:6">
      <c r="A670" t="str">
        <f>"T1110-2"</f>
        <v>T1110-2</v>
      </c>
      <c r="B670" t="str">
        <f>"VIA DELLE GAVETTE VICINO AL 25-"</f>
        <v>VIA DELLE GAVETTE VICINO AL 25-</v>
      </c>
      <c r="C670" t="str">
        <f>"STA"</f>
        <v>STA</v>
      </c>
      <c r="D670">
        <v>24</v>
      </c>
      <c r="E670" t="str">
        <f>"261"</f>
        <v>261</v>
      </c>
      <c r="F670" t="str">
        <f>"11"</f>
        <v>11</v>
      </c>
    </row>
    <row r="671" spans="1:6">
      <c r="A671" t="str">
        <f>"T1121-1"</f>
        <v>T1121-1</v>
      </c>
      <c r="B671" t="str">
        <f t="shared" ref="B671:B678" si="75">"VIA MOGADISCIO VICINO AL 34-"</f>
        <v>VIA MOGADISCIO VICINO AL 34-</v>
      </c>
      <c r="C671" t="str">
        <f t="shared" ref="C671:C678" si="76">"5"</f>
        <v>5</v>
      </c>
      <c r="D671">
        <v>42</v>
      </c>
      <c r="E671" t="str">
        <f>"412"</f>
        <v>412</v>
      </c>
      <c r="F671" t="str">
        <f t="shared" ref="F671:F702" si="77">"0000"</f>
        <v>0000</v>
      </c>
    </row>
    <row r="672" spans="1:6">
      <c r="A672" t="str">
        <f>"T1121-2"</f>
        <v>T1121-2</v>
      </c>
      <c r="B672" t="str">
        <f t="shared" si="75"/>
        <v>VIA MOGADISCIO VICINO AL 34-</v>
      </c>
      <c r="C672" t="str">
        <f t="shared" si="76"/>
        <v>5</v>
      </c>
      <c r="D672">
        <v>42</v>
      </c>
      <c r="E672" t="str">
        <f>"413"</f>
        <v>413</v>
      </c>
      <c r="F672" t="str">
        <f t="shared" si="77"/>
        <v>0000</v>
      </c>
    </row>
    <row r="673" spans="1:6">
      <c r="A673" t="str">
        <f>"T1121-3"</f>
        <v>T1121-3</v>
      </c>
      <c r="B673" t="str">
        <f t="shared" si="75"/>
        <v>VIA MOGADISCIO VICINO AL 34-</v>
      </c>
      <c r="C673" t="str">
        <f t="shared" si="76"/>
        <v>5</v>
      </c>
      <c r="D673">
        <v>42</v>
      </c>
      <c r="E673" t="str">
        <f>"568"</f>
        <v>568</v>
      </c>
      <c r="F673" t="str">
        <f t="shared" si="77"/>
        <v>0000</v>
      </c>
    </row>
    <row r="674" spans="1:6">
      <c r="A674" t="str">
        <f>"T1121-4"</f>
        <v>T1121-4</v>
      </c>
      <c r="B674" t="str">
        <f t="shared" si="75"/>
        <v>VIA MOGADISCIO VICINO AL 34-</v>
      </c>
      <c r="C674" t="str">
        <f t="shared" si="76"/>
        <v>5</v>
      </c>
      <c r="D674">
        <v>42</v>
      </c>
      <c r="E674" t="str">
        <f>"1520"</f>
        <v>1520</v>
      </c>
      <c r="F674" t="str">
        <f t="shared" si="77"/>
        <v>0000</v>
      </c>
    </row>
    <row r="675" spans="1:6">
      <c r="A675" t="str">
        <f>"T1121-5"</f>
        <v>T1121-5</v>
      </c>
      <c r="B675" t="str">
        <f t="shared" si="75"/>
        <v>VIA MOGADISCIO VICINO AL 34-</v>
      </c>
      <c r="C675" t="str">
        <f t="shared" si="76"/>
        <v>5</v>
      </c>
      <c r="D675">
        <v>42</v>
      </c>
      <c r="E675" t="str">
        <f>"1519"</f>
        <v>1519</v>
      </c>
      <c r="F675" t="str">
        <f t="shared" si="77"/>
        <v>0000</v>
      </c>
    </row>
    <row r="676" spans="1:6">
      <c r="A676" t="str">
        <f>"T1121-6"</f>
        <v>T1121-6</v>
      </c>
      <c r="B676" t="str">
        <f t="shared" si="75"/>
        <v>VIA MOGADISCIO VICINO AL 34-</v>
      </c>
      <c r="C676" t="str">
        <f t="shared" si="76"/>
        <v>5</v>
      </c>
      <c r="D676">
        <v>42</v>
      </c>
      <c r="E676" t="str">
        <f>"1521"</f>
        <v>1521</v>
      </c>
      <c r="F676" t="str">
        <f t="shared" si="77"/>
        <v>0000</v>
      </c>
    </row>
    <row r="677" spans="1:6">
      <c r="A677" t="str">
        <f>"T1121-7"</f>
        <v>T1121-7</v>
      </c>
      <c r="B677" t="str">
        <f t="shared" si="75"/>
        <v>VIA MOGADISCIO VICINO AL 34-</v>
      </c>
      <c r="C677" t="str">
        <f t="shared" si="76"/>
        <v>5</v>
      </c>
      <c r="D677">
        <v>42</v>
      </c>
      <c r="E677" t="str">
        <f>"1517"</f>
        <v>1517</v>
      </c>
      <c r="F677" t="str">
        <f t="shared" si="77"/>
        <v>0000</v>
      </c>
    </row>
    <row r="678" spans="1:6">
      <c r="A678" t="str">
        <f>"T1121-8"</f>
        <v>T1121-8</v>
      </c>
      <c r="B678" t="str">
        <f t="shared" si="75"/>
        <v>VIA MOGADISCIO VICINO AL 34-</v>
      </c>
      <c r="C678" t="str">
        <f t="shared" si="76"/>
        <v>5</v>
      </c>
      <c r="D678">
        <v>41</v>
      </c>
      <c r="E678" t="str">
        <f>"1281"</f>
        <v>1281</v>
      </c>
      <c r="F678" t="str">
        <f t="shared" si="77"/>
        <v>0000</v>
      </c>
    </row>
    <row r="679" spans="1:6">
      <c r="A679" t="str">
        <f>"T1128-1"</f>
        <v>T1128-1</v>
      </c>
      <c r="B679" t="str">
        <f>"FOSSATO DI CICALA VICINO AL 7-"</f>
        <v>FOSSATO DI CICALA VICINO AL 7-</v>
      </c>
      <c r="C679" t="str">
        <f>"1"</f>
        <v>1</v>
      </c>
      <c r="D679">
        <v>2</v>
      </c>
      <c r="E679" t="str">
        <f>"329"</f>
        <v>329</v>
      </c>
      <c r="F679" t="str">
        <f t="shared" si="77"/>
        <v>0000</v>
      </c>
    </row>
    <row r="680" spans="1:6">
      <c r="A680" t="str">
        <f>"T1128-2"</f>
        <v>T1128-2</v>
      </c>
      <c r="B680" t="str">
        <f>"FOSSATO DI CICALA VICINO AL 7-"</f>
        <v>FOSSATO DI CICALA VICINO AL 7-</v>
      </c>
      <c r="C680" t="str">
        <f>"1"</f>
        <v>1</v>
      </c>
      <c r="D680">
        <v>2</v>
      </c>
      <c r="E680" t="str">
        <f>"1616"</f>
        <v>1616</v>
      </c>
      <c r="F680" t="str">
        <f t="shared" si="77"/>
        <v>0000</v>
      </c>
    </row>
    <row r="681" spans="1:6">
      <c r="A681" t="str">
        <f>"T1128-3"</f>
        <v>T1128-3</v>
      </c>
      <c r="B681" t="str">
        <f>"FOSSATO DI CICALA VICINO AL 7-"</f>
        <v>FOSSATO DI CICALA VICINO AL 7-</v>
      </c>
      <c r="C681" t="str">
        <f>"1"</f>
        <v>1</v>
      </c>
      <c r="D681">
        <v>2</v>
      </c>
      <c r="E681" t="str">
        <f>"1555"</f>
        <v>1555</v>
      </c>
      <c r="F681" t="str">
        <f t="shared" si="77"/>
        <v>0000</v>
      </c>
    </row>
    <row r="682" spans="1:6">
      <c r="A682" t="str">
        <f>"T1129-1"</f>
        <v>T1129-1</v>
      </c>
      <c r="B682" t="str">
        <f>"VIA STRUPPA VICINO AL 20-"</f>
        <v>VIA STRUPPA VICINO AL 20-</v>
      </c>
      <c r="C682" t="str">
        <f t="shared" ref="C682:C729" si="78">"5"</f>
        <v>5</v>
      </c>
      <c r="D682">
        <v>30</v>
      </c>
      <c r="E682" t="str">
        <f>"87"</f>
        <v>87</v>
      </c>
      <c r="F682" t="str">
        <f t="shared" si="77"/>
        <v>0000</v>
      </c>
    </row>
    <row r="683" spans="1:6">
      <c r="A683" t="str">
        <f>"T1132-1"</f>
        <v>T1132-1</v>
      </c>
      <c r="B683" t="str">
        <f t="shared" ref="B683:B695" si="79">"PASSO RENATO VICINO AL 4-"</f>
        <v>PASSO RENATO VICINO AL 4-</v>
      </c>
      <c r="C683" t="str">
        <f t="shared" si="78"/>
        <v>5</v>
      </c>
      <c r="D683">
        <v>33</v>
      </c>
      <c r="E683" t="str">
        <f>"663"</f>
        <v>663</v>
      </c>
      <c r="F683" t="str">
        <f t="shared" si="77"/>
        <v>0000</v>
      </c>
    </row>
    <row r="684" spans="1:6">
      <c r="A684" t="str">
        <f>"T1132-2"</f>
        <v>T1132-2</v>
      </c>
      <c r="B684" t="str">
        <f t="shared" si="79"/>
        <v>PASSO RENATO VICINO AL 4-</v>
      </c>
      <c r="C684" t="str">
        <f t="shared" si="78"/>
        <v>5</v>
      </c>
      <c r="D684">
        <v>33</v>
      </c>
      <c r="E684" t="str">
        <f>"671"</f>
        <v>671</v>
      </c>
      <c r="F684" t="str">
        <f t="shared" si="77"/>
        <v>0000</v>
      </c>
    </row>
    <row r="685" spans="1:6">
      <c r="A685" t="str">
        <f>"T1132-3"</f>
        <v>T1132-3</v>
      </c>
      <c r="B685" t="str">
        <f t="shared" si="79"/>
        <v>PASSO RENATO VICINO AL 4-</v>
      </c>
      <c r="C685" t="str">
        <f t="shared" si="78"/>
        <v>5</v>
      </c>
      <c r="D685">
        <v>32</v>
      </c>
      <c r="E685" t="str">
        <f>"532"</f>
        <v>532</v>
      </c>
      <c r="F685" t="str">
        <f t="shared" si="77"/>
        <v>0000</v>
      </c>
    </row>
    <row r="686" spans="1:6">
      <c r="A686" t="str">
        <f>"T1132-4"</f>
        <v>T1132-4</v>
      </c>
      <c r="B686" t="str">
        <f t="shared" si="79"/>
        <v>PASSO RENATO VICINO AL 4-</v>
      </c>
      <c r="C686" t="str">
        <f t="shared" si="78"/>
        <v>5</v>
      </c>
      <c r="D686">
        <v>33</v>
      </c>
      <c r="E686" t="str">
        <f>"677"</f>
        <v>677</v>
      </c>
      <c r="F686" t="str">
        <f t="shared" si="77"/>
        <v>0000</v>
      </c>
    </row>
    <row r="687" spans="1:6">
      <c r="A687" t="str">
        <f>"T1132-5"</f>
        <v>T1132-5</v>
      </c>
      <c r="B687" t="str">
        <f t="shared" si="79"/>
        <v>PASSO RENATO VICINO AL 4-</v>
      </c>
      <c r="C687" t="str">
        <f t="shared" si="78"/>
        <v>5</v>
      </c>
      <c r="D687">
        <v>33</v>
      </c>
      <c r="E687" t="str">
        <f>"678"</f>
        <v>678</v>
      </c>
      <c r="F687" t="str">
        <f t="shared" si="77"/>
        <v>0000</v>
      </c>
    </row>
    <row r="688" spans="1:6">
      <c r="A688" t="str">
        <f>"T1132-6"</f>
        <v>T1132-6</v>
      </c>
      <c r="B688" t="str">
        <f t="shared" si="79"/>
        <v>PASSO RENATO VICINO AL 4-</v>
      </c>
      <c r="C688" t="str">
        <f t="shared" si="78"/>
        <v>5</v>
      </c>
      <c r="D688">
        <v>33</v>
      </c>
      <c r="E688" t="str">
        <f>"679"</f>
        <v>679</v>
      </c>
      <c r="F688" t="str">
        <f t="shared" si="77"/>
        <v>0000</v>
      </c>
    </row>
    <row r="689" spans="1:6">
      <c r="A689" t="str">
        <f>"T1132-7"</f>
        <v>T1132-7</v>
      </c>
      <c r="B689" t="str">
        <f t="shared" si="79"/>
        <v>PASSO RENATO VICINO AL 4-</v>
      </c>
      <c r="C689" t="str">
        <f t="shared" si="78"/>
        <v>5</v>
      </c>
      <c r="D689">
        <v>33</v>
      </c>
      <c r="E689" t="str">
        <f>"680"</f>
        <v>680</v>
      </c>
      <c r="F689" t="str">
        <f t="shared" si="77"/>
        <v>0000</v>
      </c>
    </row>
    <row r="690" spans="1:6">
      <c r="A690" t="str">
        <f>"T1132-8"</f>
        <v>T1132-8</v>
      </c>
      <c r="B690" t="str">
        <f t="shared" si="79"/>
        <v>PASSO RENATO VICINO AL 4-</v>
      </c>
      <c r="C690" t="str">
        <f t="shared" si="78"/>
        <v>5</v>
      </c>
      <c r="D690">
        <v>33</v>
      </c>
      <c r="E690" t="str">
        <f>"681"</f>
        <v>681</v>
      </c>
      <c r="F690" t="str">
        <f t="shared" si="77"/>
        <v>0000</v>
      </c>
    </row>
    <row r="691" spans="1:6">
      <c r="A691" t="str">
        <f>"T1132-9"</f>
        <v>T1132-9</v>
      </c>
      <c r="B691" t="str">
        <f t="shared" si="79"/>
        <v>PASSO RENATO VICINO AL 4-</v>
      </c>
      <c r="C691" t="str">
        <f t="shared" si="78"/>
        <v>5</v>
      </c>
      <c r="D691">
        <v>33</v>
      </c>
      <c r="E691" t="str">
        <f>"235"</f>
        <v>235</v>
      </c>
      <c r="F691" t="str">
        <f t="shared" si="77"/>
        <v>0000</v>
      </c>
    </row>
    <row r="692" spans="1:6">
      <c r="A692" t="str">
        <f>"T1132-10"</f>
        <v>T1132-10</v>
      </c>
      <c r="B692" t="str">
        <f t="shared" si="79"/>
        <v>PASSO RENATO VICINO AL 4-</v>
      </c>
      <c r="C692" t="str">
        <f t="shared" si="78"/>
        <v>5</v>
      </c>
      <c r="D692">
        <v>33</v>
      </c>
      <c r="E692" t="str">
        <f>"236"</f>
        <v>236</v>
      </c>
      <c r="F692" t="str">
        <f t="shared" si="77"/>
        <v>0000</v>
      </c>
    </row>
    <row r="693" spans="1:6">
      <c r="A693" t="str">
        <f>"T1132-11"</f>
        <v>T1132-11</v>
      </c>
      <c r="B693" t="str">
        <f t="shared" si="79"/>
        <v>PASSO RENATO VICINO AL 4-</v>
      </c>
      <c r="C693" t="str">
        <f t="shared" si="78"/>
        <v>5</v>
      </c>
      <c r="D693">
        <v>33</v>
      </c>
      <c r="E693" t="str">
        <f>"237"</f>
        <v>237</v>
      </c>
      <c r="F693" t="str">
        <f t="shared" si="77"/>
        <v>0000</v>
      </c>
    </row>
    <row r="694" spans="1:6">
      <c r="A694" t="str">
        <f>"T1132-12"</f>
        <v>T1132-12</v>
      </c>
      <c r="B694" t="str">
        <f t="shared" si="79"/>
        <v>PASSO RENATO VICINO AL 4-</v>
      </c>
      <c r="C694" t="str">
        <f t="shared" si="78"/>
        <v>5</v>
      </c>
      <c r="D694">
        <v>32</v>
      </c>
      <c r="E694" t="str">
        <f>"181"</f>
        <v>181</v>
      </c>
      <c r="F694" t="str">
        <f t="shared" si="77"/>
        <v>0000</v>
      </c>
    </row>
    <row r="695" spans="1:6">
      <c r="A695" t="str">
        <f>"T1132-13"</f>
        <v>T1132-13</v>
      </c>
      <c r="B695" t="str">
        <f t="shared" si="79"/>
        <v>PASSO RENATO VICINO AL 4-</v>
      </c>
      <c r="C695" t="str">
        <f t="shared" si="78"/>
        <v>5</v>
      </c>
      <c r="D695">
        <v>32</v>
      </c>
      <c r="E695" t="str">
        <f>"764"</f>
        <v>764</v>
      </c>
      <c r="F695" t="str">
        <f t="shared" si="77"/>
        <v>0000</v>
      </c>
    </row>
    <row r="696" spans="1:6">
      <c r="A696" t="str">
        <f>"T1133-1"</f>
        <v>T1133-1</v>
      </c>
      <c r="B696" t="str">
        <f t="shared" ref="B696:B703" si="80">"VIA EZIO LUCARNO VICINO AL 11-"</f>
        <v>VIA EZIO LUCARNO VICINO AL 11-</v>
      </c>
      <c r="C696" t="str">
        <f t="shared" si="78"/>
        <v>5</v>
      </c>
      <c r="D696">
        <v>32</v>
      </c>
      <c r="E696" t="str">
        <f>"525"</f>
        <v>525</v>
      </c>
      <c r="F696" t="str">
        <f t="shared" si="77"/>
        <v>0000</v>
      </c>
    </row>
    <row r="697" spans="1:6">
      <c r="A697" t="str">
        <f>"T1133-2"</f>
        <v>T1133-2</v>
      </c>
      <c r="B697" t="str">
        <f t="shared" si="80"/>
        <v>VIA EZIO LUCARNO VICINO AL 11-</v>
      </c>
      <c r="C697" t="str">
        <f t="shared" si="78"/>
        <v>5</v>
      </c>
      <c r="D697">
        <v>32</v>
      </c>
      <c r="E697" t="str">
        <f>"527"</f>
        <v>527</v>
      </c>
      <c r="F697" t="str">
        <f t="shared" si="77"/>
        <v>0000</v>
      </c>
    </row>
    <row r="698" spans="1:6">
      <c r="A698" t="str">
        <f>"T1133-3"</f>
        <v>T1133-3</v>
      </c>
      <c r="B698" t="str">
        <f t="shared" si="80"/>
        <v>VIA EZIO LUCARNO VICINO AL 11-</v>
      </c>
      <c r="C698" t="str">
        <f t="shared" si="78"/>
        <v>5</v>
      </c>
      <c r="D698">
        <v>32</v>
      </c>
      <c r="E698" t="str">
        <f>"529"</f>
        <v>529</v>
      </c>
      <c r="F698" t="str">
        <f t="shared" si="77"/>
        <v>0000</v>
      </c>
    </row>
    <row r="699" spans="1:6">
      <c r="A699" t="str">
        <f>"T1133-4"</f>
        <v>T1133-4</v>
      </c>
      <c r="B699" t="str">
        <f t="shared" si="80"/>
        <v>VIA EZIO LUCARNO VICINO AL 11-</v>
      </c>
      <c r="C699" t="str">
        <f t="shared" si="78"/>
        <v>5</v>
      </c>
      <c r="D699">
        <v>32</v>
      </c>
      <c r="E699" t="str">
        <f>"530"</f>
        <v>530</v>
      </c>
      <c r="F699" t="str">
        <f t="shared" si="77"/>
        <v>0000</v>
      </c>
    </row>
    <row r="700" spans="1:6">
      <c r="A700" t="str">
        <f>"T1133-5"</f>
        <v>T1133-5</v>
      </c>
      <c r="B700" t="str">
        <f t="shared" si="80"/>
        <v>VIA EZIO LUCARNO VICINO AL 11-</v>
      </c>
      <c r="C700" t="str">
        <f t="shared" si="78"/>
        <v>5</v>
      </c>
      <c r="D700">
        <v>33</v>
      </c>
      <c r="E700" t="str">
        <f>"668"</f>
        <v>668</v>
      </c>
      <c r="F700" t="str">
        <f t="shared" si="77"/>
        <v>0000</v>
      </c>
    </row>
    <row r="701" spans="1:6">
      <c r="A701" t="str">
        <f>"T1133-6"</f>
        <v>T1133-6</v>
      </c>
      <c r="B701" t="str">
        <f t="shared" si="80"/>
        <v>VIA EZIO LUCARNO VICINO AL 11-</v>
      </c>
      <c r="C701" t="str">
        <f t="shared" si="78"/>
        <v>5</v>
      </c>
      <c r="D701">
        <v>33</v>
      </c>
      <c r="E701" t="str">
        <f>"162"</f>
        <v>162</v>
      </c>
      <c r="F701" t="str">
        <f t="shared" si="77"/>
        <v>0000</v>
      </c>
    </row>
    <row r="702" spans="1:6">
      <c r="A702" t="str">
        <f>"T1133-7"</f>
        <v>T1133-7</v>
      </c>
      <c r="B702" t="str">
        <f t="shared" si="80"/>
        <v>VIA EZIO LUCARNO VICINO AL 11-</v>
      </c>
      <c r="C702" t="str">
        <f t="shared" si="78"/>
        <v>5</v>
      </c>
      <c r="D702">
        <v>33</v>
      </c>
      <c r="E702" t="str">
        <f>"515"</f>
        <v>515</v>
      </c>
      <c r="F702" t="str">
        <f t="shared" si="77"/>
        <v>0000</v>
      </c>
    </row>
    <row r="703" spans="1:6">
      <c r="A703" t="str">
        <f>"T1133-8"</f>
        <v>T1133-8</v>
      </c>
      <c r="B703" t="str">
        <f t="shared" si="80"/>
        <v>VIA EZIO LUCARNO VICINO AL 11-</v>
      </c>
      <c r="C703" t="str">
        <f t="shared" si="78"/>
        <v>5</v>
      </c>
      <c r="D703">
        <v>33</v>
      </c>
      <c r="E703" t="str">
        <f>"669"</f>
        <v>669</v>
      </c>
      <c r="F703" t="str">
        <f t="shared" ref="F703:F729" si="81">"0000"</f>
        <v>0000</v>
      </c>
    </row>
    <row r="704" spans="1:6">
      <c r="A704" t="str">
        <f>"T1134-1"</f>
        <v>T1134-1</v>
      </c>
      <c r="B704" t="str">
        <f t="shared" ref="B704:B722" si="82">"VIA EZIO LUCARNO VICINO AL 39-"</f>
        <v>VIA EZIO LUCARNO VICINO AL 39-</v>
      </c>
      <c r="C704" t="str">
        <f t="shared" si="78"/>
        <v>5</v>
      </c>
      <c r="D704">
        <v>32</v>
      </c>
      <c r="E704" t="str">
        <f>"535"</f>
        <v>535</v>
      </c>
      <c r="F704" t="str">
        <f t="shared" si="81"/>
        <v>0000</v>
      </c>
    </row>
    <row r="705" spans="1:6">
      <c r="A705" t="str">
        <f>"T1134-2"</f>
        <v>T1134-2</v>
      </c>
      <c r="B705" t="str">
        <f t="shared" si="82"/>
        <v>VIA EZIO LUCARNO VICINO AL 39-</v>
      </c>
      <c r="C705" t="str">
        <f t="shared" si="78"/>
        <v>5</v>
      </c>
      <c r="D705">
        <v>32</v>
      </c>
      <c r="E705" t="str">
        <f>"534"</f>
        <v>534</v>
      </c>
      <c r="F705" t="str">
        <f t="shared" si="81"/>
        <v>0000</v>
      </c>
    </row>
    <row r="706" spans="1:6">
      <c r="A706" t="str">
        <f>"T1134-3"</f>
        <v>T1134-3</v>
      </c>
      <c r="B706" t="str">
        <f t="shared" si="82"/>
        <v>VIA EZIO LUCARNO VICINO AL 39-</v>
      </c>
      <c r="C706" t="str">
        <f t="shared" si="78"/>
        <v>5</v>
      </c>
      <c r="D706">
        <v>32</v>
      </c>
      <c r="E706" t="str">
        <f>"536"</f>
        <v>536</v>
      </c>
      <c r="F706" t="str">
        <f t="shared" si="81"/>
        <v>0000</v>
      </c>
    </row>
    <row r="707" spans="1:6">
      <c r="A707" t="str">
        <f>"T1134-4"</f>
        <v>T1134-4</v>
      </c>
      <c r="B707" t="str">
        <f t="shared" si="82"/>
        <v>VIA EZIO LUCARNO VICINO AL 39-</v>
      </c>
      <c r="C707" t="str">
        <f t="shared" si="78"/>
        <v>5</v>
      </c>
      <c r="D707">
        <v>32</v>
      </c>
      <c r="E707" t="str">
        <f>"540"</f>
        <v>540</v>
      </c>
      <c r="F707" t="str">
        <f t="shared" si="81"/>
        <v>0000</v>
      </c>
    </row>
    <row r="708" spans="1:6">
      <c r="A708" t="str">
        <f>"T1134-5"</f>
        <v>T1134-5</v>
      </c>
      <c r="B708" t="str">
        <f t="shared" si="82"/>
        <v>VIA EZIO LUCARNO VICINO AL 39-</v>
      </c>
      <c r="C708" t="str">
        <f t="shared" si="78"/>
        <v>5</v>
      </c>
      <c r="D708">
        <v>32</v>
      </c>
      <c r="E708" t="str">
        <f>"542"</f>
        <v>542</v>
      </c>
      <c r="F708" t="str">
        <f t="shared" si="81"/>
        <v>0000</v>
      </c>
    </row>
    <row r="709" spans="1:6">
      <c r="A709" t="str">
        <f>"T1134-6"</f>
        <v>T1134-6</v>
      </c>
      <c r="B709" t="str">
        <f t="shared" si="82"/>
        <v>VIA EZIO LUCARNO VICINO AL 39-</v>
      </c>
      <c r="C709" t="str">
        <f t="shared" si="78"/>
        <v>5</v>
      </c>
      <c r="D709">
        <v>32</v>
      </c>
      <c r="E709" t="str">
        <f>"543"</f>
        <v>543</v>
      </c>
      <c r="F709" t="str">
        <f t="shared" si="81"/>
        <v>0000</v>
      </c>
    </row>
    <row r="710" spans="1:6">
      <c r="A710" t="str">
        <f>"T1134-7"</f>
        <v>T1134-7</v>
      </c>
      <c r="B710" t="str">
        <f t="shared" si="82"/>
        <v>VIA EZIO LUCARNO VICINO AL 39-</v>
      </c>
      <c r="C710" t="str">
        <f t="shared" si="78"/>
        <v>5</v>
      </c>
      <c r="D710">
        <v>32</v>
      </c>
      <c r="E710" t="str">
        <f>"544"</f>
        <v>544</v>
      </c>
      <c r="F710" t="str">
        <f t="shared" si="81"/>
        <v>0000</v>
      </c>
    </row>
    <row r="711" spans="1:6">
      <c r="A711" t="str">
        <f>"T1134-8"</f>
        <v>T1134-8</v>
      </c>
      <c r="B711" t="str">
        <f t="shared" si="82"/>
        <v>VIA EZIO LUCARNO VICINO AL 39-</v>
      </c>
      <c r="C711" t="str">
        <f t="shared" si="78"/>
        <v>5</v>
      </c>
      <c r="D711">
        <v>32</v>
      </c>
      <c r="E711" t="str">
        <f>"538"</f>
        <v>538</v>
      </c>
      <c r="F711" t="str">
        <f t="shared" si="81"/>
        <v>0000</v>
      </c>
    </row>
    <row r="712" spans="1:6">
      <c r="A712" t="str">
        <f>"T1134-9"</f>
        <v>T1134-9</v>
      </c>
      <c r="B712" t="str">
        <f t="shared" si="82"/>
        <v>VIA EZIO LUCARNO VICINO AL 39-</v>
      </c>
      <c r="C712" t="str">
        <f t="shared" si="78"/>
        <v>5</v>
      </c>
      <c r="D712">
        <v>32</v>
      </c>
      <c r="E712" t="str">
        <f>"539"</f>
        <v>539</v>
      </c>
      <c r="F712" t="str">
        <f t="shared" si="81"/>
        <v>0000</v>
      </c>
    </row>
    <row r="713" spans="1:6">
      <c r="A713" t="str">
        <f>"T1134-10"</f>
        <v>T1134-10</v>
      </c>
      <c r="B713" t="str">
        <f t="shared" si="82"/>
        <v>VIA EZIO LUCARNO VICINO AL 39-</v>
      </c>
      <c r="C713" t="str">
        <f t="shared" si="78"/>
        <v>5</v>
      </c>
      <c r="D713">
        <v>32</v>
      </c>
      <c r="E713" t="str">
        <f>"555"</f>
        <v>555</v>
      </c>
      <c r="F713" t="str">
        <f t="shared" si="81"/>
        <v>0000</v>
      </c>
    </row>
    <row r="714" spans="1:6">
      <c r="A714" t="str">
        <f>"T1134-11"</f>
        <v>T1134-11</v>
      </c>
      <c r="B714" t="str">
        <f t="shared" si="82"/>
        <v>VIA EZIO LUCARNO VICINO AL 39-</v>
      </c>
      <c r="C714" t="str">
        <f t="shared" si="78"/>
        <v>5</v>
      </c>
      <c r="D714">
        <v>32</v>
      </c>
      <c r="E714" t="str">
        <f>"556"</f>
        <v>556</v>
      </c>
      <c r="F714" t="str">
        <f t="shared" si="81"/>
        <v>0000</v>
      </c>
    </row>
    <row r="715" spans="1:6">
      <c r="A715" t="str">
        <f>"T1134-12"</f>
        <v>T1134-12</v>
      </c>
      <c r="B715" t="str">
        <f t="shared" si="82"/>
        <v>VIA EZIO LUCARNO VICINO AL 39-</v>
      </c>
      <c r="C715" t="str">
        <f t="shared" si="78"/>
        <v>5</v>
      </c>
      <c r="D715">
        <v>32</v>
      </c>
      <c r="E715" t="str">
        <f>"557"</f>
        <v>557</v>
      </c>
      <c r="F715" t="str">
        <f t="shared" si="81"/>
        <v>0000</v>
      </c>
    </row>
    <row r="716" spans="1:6">
      <c r="A716" t="str">
        <f>"T1134-13"</f>
        <v>T1134-13</v>
      </c>
      <c r="B716" t="str">
        <f t="shared" si="82"/>
        <v>VIA EZIO LUCARNO VICINO AL 39-</v>
      </c>
      <c r="C716" t="str">
        <f t="shared" si="78"/>
        <v>5</v>
      </c>
      <c r="D716">
        <v>32</v>
      </c>
      <c r="E716" t="str">
        <f>"559"</f>
        <v>559</v>
      </c>
      <c r="F716" t="str">
        <f t="shared" si="81"/>
        <v>0000</v>
      </c>
    </row>
    <row r="717" spans="1:6">
      <c r="A717" t="str">
        <f>"T1134-14"</f>
        <v>T1134-14</v>
      </c>
      <c r="B717" t="str">
        <f t="shared" si="82"/>
        <v>VIA EZIO LUCARNO VICINO AL 39-</v>
      </c>
      <c r="C717" t="str">
        <f t="shared" si="78"/>
        <v>5</v>
      </c>
      <c r="D717">
        <v>32</v>
      </c>
      <c r="E717" t="str">
        <f>"560"</f>
        <v>560</v>
      </c>
      <c r="F717" t="str">
        <f t="shared" si="81"/>
        <v>0000</v>
      </c>
    </row>
    <row r="718" spans="1:6">
      <c r="A718" t="str">
        <f>"T1134-15"</f>
        <v>T1134-15</v>
      </c>
      <c r="B718" t="str">
        <f t="shared" si="82"/>
        <v>VIA EZIO LUCARNO VICINO AL 39-</v>
      </c>
      <c r="C718" t="str">
        <f t="shared" si="78"/>
        <v>5</v>
      </c>
      <c r="D718">
        <v>33</v>
      </c>
      <c r="E718" t="str">
        <f>"665"</f>
        <v>665</v>
      </c>
      <c r="F718" t="str">
        <f t="shared" si="81"/>
        <v>0000</v>
      </c>
    </row>
    <row r="719" spans="1:6">
      <c r="A719" t="str">
        <f>"T1134-16"</f>
        <v>T1134-16</v>
      </c>
      <c r="B719" t="str">
        <f t="shared" si="82"/>
        <v>VIA EZIO LUCARNO VICINO AL 39-</v>
      </c>
      <c r="C719" t="str">
        <f t="shared" si="78"/>
        <v>5</v>
      </c>
      <c r="D719">
        <v>33</v>
      </c>
      <c r="E719" t="str">
        <f>"666"</f>
        <v>666</v>
      </c>
      <c r="F719" t="str">
        <f t="shared" si="81"/>
        <v>0000</v>
      </c>
    </row>
    <row r="720" spans="1:6">
      <c r="A720" t="str">
        <f>"T1134-17"</f>
        <v>T1134-17</v>
      </c>
      <c r="B720" t="str">
        <f t="shared" si="82"/>
        <v>VIA EZIO LUCARNO VICINO AL 39-</v>
      </c>
      <c r="C720" t="str">
        <f t="shared" si="78"/>
        <v>5</v>
      </c>
      <c r="D720">
        <v>33</v>
      </c>
      <c r="E720" t="str">
        <f>"670"</f>
        <v>670</v>
      </c>
      <c r="F720" t="str">
        <f t="shared" si="81"/>
        <v>0000</v>
      </c>
    </row>
    <row r="721" spans="1:6">
      <c r="A721" t="str">
        <f>"T1134-18"</f>
        <v>T1134-18</v>
      </c>
      <c r="B721" t="str">
        <f t="shared" si="82"/>
        <v>VIA EZIO LUCARNO VICINO AL 39-</v>
      </c>
      <c r="C721" t="str">
        <f t="shared" si="78"/>
        <v>5</v>
      </c>
      <c r="D721">
        <v>33</v>
      </c>
      <c r="E721" t="str">
        <f>"673"</f>
        <v>673</v>
      </c>
      <c r="F721" t="str">
        <f t="shared" si="81"/>
        <v>0000</v>
      </c>
    </row>
    <row r="722" spans="1:6">
      <c r="A722" t="str">
        <f>"T1134-19"</f>
        <v>T1134-19</v>
      </c>
      <c r="B722" t="str">
        <f t="shared" si="82"/>
        <v>VIA EZIO LUCARNO VICINO AL 39-</v>
      </c>
      <c r="C722" t="str">
        <f t="shared" si="78"/>
        <v>5</v>
      </c>
      <c r="D722">
        <v>33</v>
      </c>
      <c r="E722" t="str">
        <f>"675"</f>
        <v>675</v>
      </c>
      <c r="F722" t="str">
        <f t="shared" si="81"/>
        <v>0000</v>
      </c>
    </row>
    <row r="723" spans="1:6">
      <c r="A723" t="str">
        <f>"T1138-1"</f>
        <v>T1138-1</v>
      </c>
      <c r="B723" t="str">
        <f>"VIA MOGADISCIO  6-"</f>
        <v>VIA MOGADISCIO  6-</v>
      </c>
      <c r="C723" t="str">
        <f t="shared" si="78"/>
        <v>5</v>
      </c>
      <c r="D723">
        <v>41</v>
      </c>
      <c r="E723" t="str">
        <f>"806"</f>
        <v>806</v>
      </c>
      <c r="F723" t="str">
        <f t="shared" si="81"/>
        <v>0000</v>
      </c>
    </row>
    <row r="724" spans="1:6">
      <c r="A724" t="str">
        <f>"T1138-2"</f>
        <v>T1138-2</v>
      </c>
      <c r="B724" t="str">
        <f>"VIA MOGADISCIO  6-"</f>
        <v>VIA MOGADISCIO  6-</v>
      </c>
      <c r="C724" t="str">
        <f t="shared" si="78"/>
        <v>5</v>
      </c>
      <c r="D724">
        <v>41</v>
      </c>
      <c r="E724" t="str">
        <f>"1504"</f>
        <v>1504</v>
      </c>
      <c r="F724" t="str">
        <f t="shared" si="81"/>
        <v>0000</v>
      </c>
    </row>
    <row r="725" spans="1:6">
      <c r="A725" t="str">
        <f>"T1138-3"</f>
        <v>T1138-3</v>
      </c>
      <c r="B725" t="str">
        <f>"VIA MOGADISCIO  6-"</f>
        <v>VIA MOGADISCIO  6-</v>
      </c>
      <c r="C725" t="str">
        <f t="shared" si="78"/>
        <v>5</v>
      </c>
      <c r="D725">
        <v>41</v>
      </c>
      <c r="E725" t="str">
        <f>"1506"</f>
        <v>1506</v>
      </c>
      <c r="F725" t="str">
        <f t="shared" si="81"/>
        <v>0000</v>
      </c>
    </row>
    <row r="726" spans="1:6">
      <c r="A726" t="str">
        <f>"T1138-4"</f>
        <v>T1138-4</v>
      </c>
      <c r="B726" t="str">
        <f>"VIA MOGADISCIO  6-"</f>
        <v>VIA MOGADISCIO  6-</v>
      </c>
      <c r="C726" t="str">
        <f t="shared" si="78"/>
        <v>5</v>
      </c>
      <c r="D726">
        <v>41</v>
      </c>
      <c r="E726" t="str">
        <f>"1508"</f>
        <v>1508</v>
      </c>
      <c r="F726" t="str">
        <f t="shared" si="81"/>
        <v>0000</v>
      </c>
    </row>
    <row r="727" spans="1:6">
      <c r="A727" t="str">
        <f>"T1142-1"</f>
        <v>T1142-1</v>
      </c>
      <c r="B727" t="str">
        <f>"VIA GELASIO ADAMOLI VICINO AL 421-"</f>
        <v>VIA GELASIO ADAMOLI VICINO AL 421-</v>
      </c>
      <c r="C727" t="str">
        <f t="shared" si="78"/>
        <v>5</v>
      </c>
      <c r="D727">
        <v>39</v>
      </c>
      <c r="E727" t="str">
        <f>"920"</f>
        <v>920</v>
      </c>
      <c r="F727" t="str">
        <f t="shared" si="81"/>
        <v>0000</v>
      </c>
    </row>
    <row r="728" spans="1:6">
      <c r="A728" t="str">
        <f>"T1142-2"</f>
        <v>T1142-2</v>
      </c>
      <c r="B728" t="str">
        <f>"VIA GELASIO ADAMOLI VICINO AL 421-"</f>
        <v>VIA GELASIO ADAMOLI VICINO AL 421-</v>
      </c>
      <c r="C728" t="str">
        <f t="shared" si="78"/>
        <v>5</v>
      </c>
      <c r="D728">
        <v>39</v>
      </c>
      <c r="E728" t="str">
        <f>"921"</f>
        <v>921</v>
      </c>
      <c r="F728" t="str">
        <f t="shared" si="81"/>
        <v>0000</v>
      </c>
    </row>
    <row r="729" spans="1:6">
      <c r="A729" t="str">
        <f>"T1142-3"</f>
        <v>T1142-3</v>
      </c>
      <c r="B729" t="str">
        <f>"VIA GELASIO ADAMOLI VICINO AL 421-"</f>
        <v>VIA GELASIO ADAMOLI VICINO AL 421-</v>
      </c>
      <c r="C729" t="str">
        <f t="shared" si="78"/>
        <v>5</v>
      </c>
      <c r="D729">
        <v>39</v>
      </c>
      <c r="E729" t="str">
        <f>"922"</f>
        <v>922</v>
      </c>
      <c r="F729" t="str">
        <f t="shared" si="81"/>
        <v>0000</v>
      </c>
    </row>
    <row r="730" spans="1:6">
      <c r="A730" t="str">
        <f>"T1142-4"</f>
        <v>T1142-4</v>
      </c>
      <c r="B730" t="str">
        <f>"VIA GELASIO ADAMOLI VICINO AL 421-"</f>
        <v>VIA GELASIO ADAMOLI VICINO AL 421-</v>
      </c>
      <c r="C730" t="str">
        <f>""</f>
        <v/>
      </c>
      <c r="E730" t="str">
        <f>""</f>
        <v/>
      </c>
      <c r="F730" t="str">
        <f>""</f>
        <v/>
      </c>
    </row>
    <row r="731" spans="1:6">
      <c r="A731" t="str">
        <f>"T1146-1"</f>
        <v>T1146-1</v>
      </c>
      <c r="B731" t="str">
        <f>"VIA DELLE BARACCHE VICINO AL 2-"</f>
        <v>VIA DELLE BARACCHE VICINO AL 2-</v>
      </c>
      <c r="C731" t="str">
        <f>"1"</f>
        <v>1</v>
      </c>
      <c r="D731">
        <v>29</v>
      </c>
      <c r="E731" t="str">
        <f>"407"</f>
        <v>407</v>
      </c>
      <c r="F731" t="str">
        <f>"0000"</f>
        <v>0000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28"/>
  <sheetViews>
    <sheetView workbookViewId="0">
      <selection sqref="A1:F1"/>
    </sheetView>
  </sheetViews>
  <sheetFormatPr defaultRowHeight="12.75"/>
  <cols>
    <col min="1" max="1" width="19.5703125" bestFit="1" customWidth="1"/>
    <col min="2" max="2" width="43" bestFit="1" customWidth="1"/>
    <col min="5" max="5" width="10" bestFit="1" customWidth="1"/>
  </cols>
  <sheetData>
    <row r="1" spans="1:6">
      <c r="A1" s="1" t="str">
        <f>"codice identificativo"</f>
        <v>codice identificativo</v>
      </c>
      <c r="B1" s="1" t="str">
        <f>"Indirizzo/Località"</f>
        <v>Indirizzo/Località</v>
      </c>
      <c r="C1" s="1" t="str">
        <f>"SEZIONE"</f>
        <v>SEZIONE</v>
      </c>
      <c r="D1" s="1" t="str">
        <f>"FOGLIO"</f>
        <v>FOGLIO</v>
      </c>
      <c r="E1" s="1" t="str">
        <f>"MAPPALE"</f>
        <v>MAPPALE</v>
      </c>
      <c r="F1" s="1" t="str">
        <f>"SUB"</f>
        <v>SUB</v>
      </c>
    </row>
    <row r="2" spans="1:6">
      <c r="A2" t="str">
        <f>"T16-6"</f>
        <v>T16-6</v>
      </c>
      <c r="B2" t="str">
        <f t="shared" ref="B2:B10" si="0">"VIA FALIERO VEZZANI VICINO AL 31-"</f>
        <v>VIA FALIERO VEZZANI VICINO AL 31-</v>
      </c>
      <c r="C2" t="str">
        <f t="shared" ref="C2:C13" si="1">"4"</f>
        <v>4</v>
      </c>
      <c r="D2">
        <v>32</v>
      </c>
      <c r="E2" t="str">
        <f>"541"</f>
        <v>541</v>
      </c>
      <c r="F2" t="str">
        <f t="shared" ref="F2:F13" si="2">"0000"</f>
        <v>0000</v>
      </c>
    </row>
    <row r="3" spans="1:6">
      <c r="A3" t="str">
        <f>"T16-7"</f>
        <v>T16-7</v>
      </c>
      <c r="B3" t="str">
        <f t="shared" si="0"/>
        <v>VIA FALIERO VEZZANI VICINO AL 31-</v>
      </c>
      <c r="C3" t="str">
        <f t="shared" si="1"/>
        <v>4</v>
      </c>
      <c r="D3">
        <v>32</v>
      </c>
      <c r="E3" t="str">
        <f>"89"</f>
        <v>89</v>
      </c>
      <c r="F3" t="str">
        <f t="shared" si="2"/>
        <v>0000</v>
      </c>
    </row>
    <row r="4" spans="1:6">
      <c r="A4" t="str">
        <f>"T16-8"</f>
        <v>T16-8</v>
      </c>
      <c r="B4" t="str">
        <f t="shared" si="0"/>
        <v>VIA FALIERO VEZZANI VICINO AL 31-</v>
      </c>
      <c r="C4" t="str">
        <f t="shared" si="1"/>
        <v>4</v>
      </c>
      <c r="D4">
        <v>32</v>
      </c>
      <c r="E4" t="str">
        <f>"568"</f>
        <v>568</v>
      </c>
      <c r="F4" t="str">
        <f t="shared" si="2"/>
        <v>0000</v>
      </c>
    </row>
    <row r="5" spans="1:6">
      <c r="A5" t="str">
        <f>"T16-9"</f>
        <v>T16-9</v>
      </c>
      <c r="B5" t="str">
        <f t="shared" si="0"/>
        <v>VIA FALIERO VEZZANI VICINO AL 31-</v>
      </c>
      <c r="C5" t="str">
        <f t="shared" si="1"/>
        <v>4</v>
      </c>
      <c r="D5">
        <v>32</v>
      </c>
      <c r="E5" t="str">
        <f>"90"</f>
        <v>90</v>
      </c>
      <c r="F5" t="str">
        <f t="shared" si="2"/>
        <v>0000</v>
      </c>
    </row>
    <row r="6" spans="1:6">
      <c r="A6" t="str">
        <f>"T16-11"</f>
        <v>T16-11</v>
      </c>
      <c r="B6" t="str">
        <f t="shared" si="0"/>
        <v>VIA FALIERO VEZZANI VICINO AL 31-</v>
      </c>
      <c r="C6" t="str">
        <f t="shared" si="1"/>
        <v>4</v>
      </c>
      <c r="D6">
        <v>37</v>
      </c>
      <c r="E6" t="str">
        <f>"540"</f>
        <v>540</v>
      </c>
      <c r="F6" t="str">
        <f t="shared" si="2"/>
        <v>0000</v>
      </c>
    </row>
    <row r="7" spans="1:6">
      <c r="A7" t="str">
        <f>"T16-12"</f>
        <v>T16-12</v>
      </c>
      <c r="B7" t="str">
        <f t="shared" si="0"/>
        <v>VIA FALIERO VEZZANI VICINO AL 31-</v>
      </c>
      <c r="C7" t="str">
        <f t="shared" si="1"/>
        <v>4</v>
      </c>
      <c r="D7">
        <v>37</v>
      </c>
      <c r="E7" t="str">
        <f>"539"</f>
        <v>539</v>
      </c>
      <c r="F7" t="str">
        <f t="shared" si="2"/>
        <v>0000</v>
      </c>
    </row>
    <row r="8" spans="1:6">
      <c r="A8" t="str">
        <f>"T16-13"</f>
        <v>T16-13</v>
      </c>
      <c r="B8" t="str">
        <f t="shared" si="0"/>
        <v>VIA FALIERO VEZZANI VICINO AL 31-</v>
      </c>
      <c r="C8" t="str">
        <f t="shared" si="1"/>
        <v>4</v>
      </c>
      <c r="D8">
        <v>37</v>
      </c>
      <c r="E8" t="str">
        <f>"538"</f>
        <v>538</v>
      </c>
      <c r="F8" t="str">
        <f t="shared" si="2"/>
        <v>0000</v>
      </c>
    </row>
    <row r="9" spans="1:6">
      <c r="A9" t="str">
        <f>"T16-14"</f>
        <v>T16-14</v>
      </c>
      <c r="B9" t="str">
        <f t="shared" si="0"/>
        <v>VIA FALIERO VEZZANI VICINO AL 31-</v>
      </c>
      <c r="C9" t="str">
        <f t="shared" si="1"/>
        <v>4</v>
      </c>
      <c r="D9">
        <v>37</v>
      </c>
      <c r="E9" t="str">
        <f>"537"</f>
        <v>537</v>
      </c>
      <c r="F9" t="str">
        <f t="shared" si="2"/>
        <v>0000</v>
      </c>
    </row>
    <row r="10" spans="1:6">
      <c r="A10" t="str">
        <f>"T16-16"</f>
        <v>T16-16</v>
      </c>
      <c r="B10" t="str">
        <f t="shared" si="0"/>
        <v>VIA FALIERO VEZZANI VICINO AL 31-</v>
      </c>
      <c r="C10" t="str">
        <f t="shared" si="1"/>
        <v>4</v>
      </c>
      <c r="D10">
        <v>32</v>
      </c>
      <c r="E10" t="str">
        <f>"1022"</f>
        <v>1022</v>
      </c>
      <c r="F10" t="str">
        <f t="shared" si="2"/>
        <v>0000</v>
      </c>
    </row>
    <row r="11" spans="1:6">
      <c r="A11" t="str">
        <f>"T583-1"</f>
        <v>T583-1</v>
      </c>
      <c r="B11" t="str">
        <f>"VIA NATALE GALLINO VICINO AL 51-"</f>
        <v>VIA NATALE GALLINO VICINO AL 51-</v>
      </c>
      <c r="C11" t="str">
        <f t="shared" si="1"/>
        <v>4</v>
      </c>
      <c r="D11">
        <v>2</v>
      </c>
      <c r="E11" t="str">
        <f>"398"</f>
        <v>398</v>
      </c>
      <c r="F11" t="str">
        <f t="shared" si="2"/>
        <v>0000</v>
      </c>
    </row>
    <row r="12" spans="1:6">
      <c r="A12" t="str">
        <f>"T583-2"</f>
        <v>T583-2</v>
      </c>
      <c r="B12" t="str">
        <f>"VIA NATALE GALLINO VICINO AL 51-"</f>
        <v>VIA NATALE GALLINO VICINO AL 51-</v>
      </c>
      <c r="C12" t="str">
        <f t="shared" si="1"/>
        <v>4</v>
      </c>
      <c r="D12">
        <v>2</v>
      </c>
      <c r="E12" t="str">
        <f>"514"</f>
        <v>514</v>
      </c>
      <c r="F12" t="str">
        <f t="shared" si="2"/>
        <v>0000</v>
      </c>
    </row>
    <row r="13" spans="1:6">
      <c r="A13" t="str">
        <f>"T583-3"</f>
        <v>T583-3</v>
      </c>
      <c r="B13" t="str">
        <f>"VIA NATALE GALLINO VICINO AL 51-"</f>
        <v>VIA NATALE GALLINO VICINO AL 51-</v>
      </c>
      <c r="C13" t="str">
        <f t="shared" si="1"/>
        <v>4</v>
      </c>
      <c r="D13">
        <v>2</v>
      </c>
      <c r="E13" t="str">
        <f>"370"</f>
        <v>370</v>
      </c>
      <c r="F13" t="str">
        <f t="shared" si="2"/>
        <v>0000</v>
      </c>
    </row>
    <row r="14" spans="1:6">
      <c r="A14" t="str">
        <f>"T677-3"</f>
        <v>T677-3</v>
      </c>
      <c r="B14" t="str">
        <f>"VIA DELLA PIETRA VICINO AL 2-"</f>
        <v>VIA DELLA PIETRA VICINO AL 2-</v>
      </c>
      <c r="C14" t="str">
        <f>"RIV"</f>
        <v>RIV</v>
      </c>
      <c r="D14">
        <v>36</v>
      </c>
      <c r="E14" t="str">
        <f>"1591"</f>
        <v>1591</v>
      </c>
      <c r="F14" t="str">
        <f>"2"</f>
        <v>2</v>
      </c>
    </row>
    <row r="15" spans="1:6">
      <c r="A15" t="str">
        <f>"T690-5"</f>
        <v>T690-5</v>
      </c>
      <c r="B15" t="str">
        <f>"SALITA DANIELE MORCHIO  36-"</f>
        <v>SALITA DANIELE MORCHIO  36-</v>
      </c>
      <c r="C15" t="str">
        <f t="shared" ref="C15:C46" si="3">"4"</f>
        <v>4</v>
      </c>
      <c r="D15">
        <v>23</v>
      </c>
      <c r="E15" t="str">
        <f>"99999"</f>
        <v>99999</v>
      </c>
      <c r="F15" t="str">
        <f t="shared" ref="F15:F78" si="4">"0000"</f>
        <v>0000</v>
      </c>
    </row>
    <row r="16" spans="1:6">
      <c r="A16" t="str">
        <f>"T691-1"</f>
        <v>T691-1</v>
      </c>
      <c r="B16" t="str">
        <f t="shared" ref="B16:B23" si="5">"VIA GIRO DEL VENTO VICINO AL 52-"</f>
        <v>VIA GIRO DEL VENTO VICINO AL 52-</v>
      </c>
      <c r="C16" t="str">
        <f t="shared" si="3"/>
        <v>4</v>
      </c>
      <c r="D16">
        <v>23</v>
      </c>
      <c r="E16" t="str">
        <f>"70"</f>
        <v>70</v>
      </c>
      <c r="F16" t="str">
        <f t="shared" si="4"/>
        <v>0000</v>
      </c>
    </row>
    <row r="17" spans="1:6">
      <c r="A17" t="str">
        <f>"T691-2"</f>
        <v>T691-2</v>
      </c>
      <c r="B17" t="str">
        <f t="shared" si="5"/>
        <v>VIA GIRO DEL VENTO VICINO AL 52-</v>
      </c>
      <c r="C17" t="str">
        <f t="shared" si="3"/>
        <v>4</v>
      </c>
      <c r="D17">
        <v>23</v>
      </c>
      <c r="E17" t="str">
        <f>"71"</f>
        <v>71</v>
      </c>
      <c r="F17" t="str">
        <f t="shared" si="4"/>
        <v>0000</v>
      </c>
    </row>
    <row r="18" spans="1:6">
      <c r="A18" t="str">
        <f>"T691-3"</f>
        <v>T691-3</v>
      </c>
      <c r="B18" t="str">
        <f t="shared" si="5"/>
        <v>VIA GIRO DEL VENTO VICINO AL 52-</v>
      </c>
      <c r="C18" t="str">
        <f t="shared" si="3"/>
        <v>4</v>
      </c>
      <c r="D18">
        <v>23</v>
      </c>
      <c r="E18" t="str">
        <f>"125"</f>
        <v>125</v>
      </c>
      <c r="F18" t="str">
        <f t="shared" si="4"/>
        <v>0000</v>
      </c>
    </row>
    <row r="19" spans="1:6">
      <c r="A19" t="str">
        <f>"T691-4"</f>
        <v>T691-4</v>
      </c>
      <c r="B19" t="str">
        <f t="shared" si="5"/>
        <v>VIA GIRO DEL VENTO VICINO AL 52-</v>
      </c>
      <c r="C19" t="str">
        <f t="shared" si="3"/>
        <v>4</v>
      </c>
      <c r="D19">
        <v>23</v>
      </c>
      <c r="E19" t="str">
        <f>"129"</f>
        <v>129</v>
      </c>
      <c r="F19" t="str">
        <f t="shared" si="4"/>
        <v>0000</v>
      </c>
    </row>
    <row r="20" spans="1:6">
      <c r="A20" t="str">
        <f>"T691-5"</f>
        <v>T691-5</v>
      </c>
      <c r="B20" t="str">
        <f t="shared" si="5"/>
        <v>VIA GIRO DEL VENTO VICINO AL 52-</v>
      </c>
      <c r="C20" t="str">
        <f t="shared" si="3"/>
        <v>4</v>
      </c>
      <c r="D20">
        <v>23</v>
      </c>
      <c r="E20" t="str">
        <f>"130"</f>
        <v>130</v>
      </c>
      <c r="F20" t="str">
        <f t="shared" si="4"/>
        <v>0000</v>
      </c>
    </row>
    <row r="21" spans="1:6">
      <c r="A21" t="str">
        <f>"T691-6"</f>
        <v>T691-6</v>
      </c>
      <c r="B21" t="str">
        <f t="shared" si="5"/>
        <v>VIA GIRO DEL VENTO VICINO AL 52-</v>
      </c>
      <c r="C21" t="str">
        <f t="shared" si="3"/>
        <v>4</v>
      </c>
      <c r="D21">
        <v>23</v>
      </c>
      <c r="E21" t="str">
        <f>"130"</f>
        <v>130</v>
      </c>
      <c r="F21" t="str">
        <f t="shared" si="4"/>
        <v>0000</v>
      </c>
    </row>
    <row r="22" spans="1:6">
      <c r="A22" t="str">
        <f>"T691-7"</f>
        <v>T691-7</v>
      </c>
      <c r="B22" t="str">
        <f t="shared" si="5"/>
        <v>VIA GIRO DEL VENTO VICINO AL 52-</v>
      </c>
      <c r="C22" t="str">
        <f t="shared" si="3"/>
        <v>4</v>
      </c>
      <c r="D22">
        <v>23</v>
      </c>
      <c r="E22" t="str">
        <f>"131"</f>
        <v>131</v>
      </c>
      <c r="F22" t="str">
        <f t="shared" si="4"/>
        <v>0000</v>
      </c>
    </row>
    <row r="23" spans="1:6">
      <c r="A23" t="str">
        <f>"T691-8"</f>
        <v>T691-8</v>
      </c>
      <c r="B23" t="str">
        <f t="shared" si="5"/>
        <v>VIA GIRO DEL VENTO VICINO AL 52-</v>
      </c>
      <c r="C23" t="str">
        <f t="shared" si="3"/>
        <v>4</v>
      </c>
      <c r="D23">
        <v>27</v>
      </c>
      <c r="E23" t="str">
        <f>"439"</f>
        <v>439</v>
      </c>
      <c r="F23" t="str">
        <f t="shared" si="4"/>
        <v>0000</v>
      </c>
    </row>
    <row r="24" spans="1:6">
      <c r="A24" t="str">
        <f>"T694-1"</f>
        <v>T694-1</v>
      </c>
      <c r="B24" t="str">
        <f>"VIA BOLZANETO VICINO AL 9-"</f>
        <v>VIA BOLZANETO VICINO AL 9-</v>
      </c>
      <c r="C24" t="str">
        <f t="shared" si="3"/>
        <v>4</v>
      </c>
      <c r="D24">
        <v>18</v>
      </c>
      <c r="E24" t="str">
        <f>"40"</f>
        <v>40</v>
      </c>
      <c r="F24" t="str">
        <f t="shared" si="4"/>
        <v>0000</v>
      </c>
    </row>
    <row r="25" spans="1:6">
      <c r="A25" t="str">
        <f>"T701-1"</f>
        <v>T701-1</v>
      </c>
      <c r="B25" t="str">
        <f>"PASSO TORBELLA VICINO AL 12B-"</f>
        <v>PASSO TORBELLA VICINO AL 12B-</v>
      </c>
      <c r="C25" t="str">
        <f t="shared" si="3"/>
        <v>4</v>
      </c>
      <c r="D25">
        <v>36</v>
      </c>
      <c r="E25" t="str">
        <f>"16"</f>
        <v>16</v>
      </c>
      <c r="F25" t="str">
        <f t="shared" si="4"/>
        <v>0000</v>
      </c>
    </row>
    <row r="26" spans="1:6">
      <c r="A26" t="str">
        <f>"T701-2"</f>
        <v>T701-2</v>
      </c>
      <c r="B26" t="str">
        <f>"PASSO TORBELLA VICINO AL 12B-"</f>
        <v>PASSO TORBELLA VICINO AL 12B-</v>
      </c>
      <c r="C26" t="str">
        <f t="shared" si="3"/>
        <v>4</v>
      </c>
      <c r="D26">
        <v>36</v>
      </c>
      <c r="E26" t="str">
        <f>"17"</f>
        <v>17</v>
      </c>
      <c r="F26" t="str">
        <f t="shared" si="4"/>
        <v>0000</v>
      </c>
    </row>
    <row r="27" spans="1:6">
      <c r="A27" t="str">
        <f>"T702-1"</f>
        <v>T702-1</v>
      </c>
      <c r="B27" t="str">
        <f t="shared" ref="B27:B56" si="6">"SALITA BRASILE VICINO AL 32-"</f>
        <v>SALITA BRASILE VICINO AL 32-</v>
      </c>
      <c r="C27" t="str">
        <f t="shared" si="3"/>
        <v>4</v>
      </c>
      <c r="D27">
        <v>20</v>
      </c>
      <c r="E27" t="str">
        <f>"323"</f>
        <v>323</v>
      </c>
      <c r="F27" t="str">
        <f t="shared" si="4"/>
        <v>0000</v>
      </c>
    </row>
    <row r="28" spans="1:6">
      <c r="A28" t="str">
        <f>"T702-2"</f>
        <v>T702-2</v>
      </c>
      <c r="B28" t="str">
        <f t="shared" si="6"/>
        <v>SALITA BRASILE VICINO AL 32-</v>
      </c>
      <c r="C28" t="str">
        <f t="shared" si="3"/>
        <v>4</v>
      </c>
      <c r="D28">
        <v>20</v>
      </c>
      <c r="E28" t="str">
        <f>"324"</f>
        <v>324</v>
      </c>
      <c r="F28" t="str">
        <f t="shared" si="4"/>
        <v>0000</v>
      </c>
    </row>
    <row r="29" spans="1:6">
      <c r="A29" t="str">
        <f>"T702-3"</f>
        <v>T702-3</v>
      </c>
      <c r="B29" t="str">
        <f t="shared" si="6"/>
        <v>SALITA BRASILE VICINO AL 32-</v>
      </c>
      <c r="C29" t="str">
        <f t="shared" si="3"/>
        <v>4</v>
      </c>
      <c r="D29">
        <v>20</v>
      </c>
      <c r="E29" t="str">
        <f>"325"</f>
        <v>325</v>
      </c>
      <c r="F29" t="str">
        <f t="shared" si="4"/>
        <v>0000</v>
      </c>
    </row>
    <row r="30" spans="1:6">
      <c r="A30" t="str">
        <f>"T702-4"</f>
        <v>T702-4</v>
      </c>
      <c r="B30" t="str">
        <f t="shared" si="6"/>
        <v>SALITA BRASILE VICINO AL 32-</v>
      </c>
      <c r="C30" t="str">
        <f t="shared" si="3"/>
        <v>4</v>
      </c>
      <c r="D30">
        <v>20</v>
      </c>
      <c r="E30" t="str">
        <f>"326"</f>
        <v>326</v>
      </c>
      <c r="F30" t="str">
        <f t="shared" si="4"/>
        <v>0000</v>
      </c>
    </row>
    <row r="31" spans="1:6">
      <c r="A31" t="str">
        <f>"T702-6"</f>
        <v>T702-6</v>
      </c>
      <c r="B31" t="str">
        <f t="shared" si="6"/>
        <v>SALITA BRASILE VICINO AL 32-</v>
      </c>
      <c r="C31" t="str">
        <f t="shared" si="3"/>
        <v>4</v>
      </c>
      <c r="D31">
        <v>20</v>
      </c>
      <c r="E31" t="str">
        <f>"329"</f>
        <v>329</v>
      </c>
      <c r="F31" t="str">
        <f t="shared" si="4"/>
        <v>0000</v>
      </c>
    </row>
    <row r="32" spans="1:6">
      <c r="A32" t="str">
        <f>"T702-7"</f>
        <v>T702-7</v>
      </c>
      <c r="B32" t="str">
        <f t="shared" si="6"/>
        <v>SALITA BRASILE VICINO AL 32-</v>
      </c>
      <c r="C32" t="str">
        <f t="shared" si="3"/>
        <v>4</v>
      </c>
      <c r="D32">
        <v>20</v>
      </c>
      <c r="E32" t="str">
        <f>"330"</f>
        <v>330</v>
      </c>
      <c r="F32" t="str">
        <f t="shared" si="4"/>
        <v>0000</v>
      </c>
    </row>
    <row r="33" spans="1:6">
      <c r="A33" t="str">
        <f>"T702-8"</f>
        <v>T702-8</v>
      </c>
      <c r="B33" t="str">
        <f t="shared" si="6"/>
        <v>SALITA BRASILE VICINO AL 32-</v>
      </c>
      <c r="C33" t="str">
        <f t="shared" si="3"/>
        <v>4</v>
      </c>
      <c r="D33">
        <v>20</v>
      </c>
      <c r="E33" t="str">
        <f>"331"</f>
        <v>331</v>
      </c>
      <c r="F33" t="str">
        <f t="shared" si="4"/>
        <v>0000</v>
      </c>
    </row>
    <row r="34" spans="1:6">
      <c r="A34" t="str">
        <f>"T702-10"</f>
        <v>T702-10</v>
      </c>
      <c r="B34" t="str">
        <f t="shared" si="6"/>
        <v>SALITA BRASILE VICINO AL 32-</v>
      </c>
      <c r="C34" t="str">
        <f t="shared" si="3"/>
        <v>4</v>
      </c>
      <c r="D34">
        <v>20</v>
      </c>
      <c r="E34" t="str">
        <f>"333"</f>
        <v>333</v>
      </c>
      <c r="F34" t="str">
        <f t="shared" si="4"/>
        <v>0000</v>
      </c>
    </row>
    <row r="35" spans="1:6">
      <c r="A35" t="str">
        <f>"T702-11"</f>
        <v>T702-11</v>
      </c>
      <c r="B35" t="str">
        <f t="shared" si="6"/>
        <v>SALITA BRASILE VICINO AL 32-</v>
      </c>
      <c r="C35" t="str">
        <f t="shared" si="3"/>
        <v>4</v>
      </c>
      <c r="D35">
        <v>20</v>
      </c>
      <c r="E35" t="str">
        <f>"335"</f>
        <v>335</v>
      </c>
      <c r="F35" t="str">
        <f t="shared" si="4"/>
        <v>0000</v>
      </c>
    </row>
    <row r="36" spans="1:6">
      <c r="A36" t="str">
        <f>"T702-12"</f>
        <v>T702-12</v>
      </c>
      <c r="B36" t="str">
        <f t="shared" si="6"/>
        <v>SALITA BRASILE VICINO AL 32-</v>
      </c>
      <c r="C36" t="str">
        <f t="shared" si="3"/>
        <v>4</v>
      </c>
      <c r="D36">
        <v>20</v>
      </c>
      <c r="E36" t="str">
        <f>"336"</f>
        <v>336</v>
      </c>
      <c r="F36" t="str">
        <f t="shared" si="4"/>
        <v>0000</v>
      </c>
    </row>
    <row r="37" spans="1:6">
      <c r="A37" t="str">
        <f>"T702-13"</f>
        <v>T702-13</v>
      </c>
      <c r="B37" t="str">
        <f t="shared" si="6"/>
        <v>SALITA BRASILE VICINO AL 32-</v>
      </c>
      <c r="C37" t="str">
        <f t="shared" si="3"/>
        <v>4</v>
      </c>
      <c r="D37">
        <v>20</v>
      </c>
      <c r="E37" t="str">
        <f>"337"</f>
        <v>337</v>
      </c>
      <c r="F37" t="str">
        <f t="shared" si="4"/>
        <v>0000</v>
      </c>
    </row>
    <row r="38" spans="1:6">
      <c r="A38" t="str">
        <f>"T702-14"</f>
        <v>T702-14</v>
      </c>
      <c r="B38" t="str">
        <f t="shared" si="6"/>
        <v>SALITA BRASILE VICINO AL 32-</v>
      </c>
      <c r="C38" t="str">
        <f t="shared" si="3"/>
        <v>4</v>
      </c>
      <c r="D38">
        <v>20</v>
      </c>
      <c r="E38" t="str">
        <f>"338"</f>
        <v>338</v>
      </c>
      <c r="F38" t="str">
        <f t="shared" si="4"/>
        <v>0000</v>
      </c>
    </row>
    <row r="39" spans="1:6">
      <c r="A39" t="str">
        <f>"T702-15"</f>
        <v>T702-15</v>
      </c>
      <c r="B39" t="str">
        <f t="shared" si="6"/>
        <v>SALITA BRASILE VICINO AL 32-</v>
      </c>
      <c r="C39" t="str">
        <f t="shared" si="3"/>
        <v>4</v>
      </c>
      <c r="D39">
        <v>20</v>
      </c>
      <c r="E39" t="str">
        <f>"340"</f>
        <v>340</v>
      </c>
      <c r="F39" t="str">
        <f t="shared" si="4"/>
        <v>0000</v>
      </c>
    </row>
    <row r="40" spans="1:6">
      <c r="A40" t="str">
        <f>"T702-16"</f>
        <v>T702-16</v>
      </c>
      <c r="B40" t="str">
        <f t="shared" si="6"/>
        <v>SALITA BRASILE VICINO AL 32-</v>
      </c>
      <c r="C40" t="str">
        <f t="shared" si="3"/>
        <v>4</v>
      </c>
      <c r="D40">
        <v>20</v>
      </c>
      <c r="E40" t="str">
        <f>"342"</f>
        <v>342</v>
      </c>
      <c r="F40" t="str">
        <f t="shared" si="4"/>
        <v>0000</v>
      </c>
    </row>
    <row r="41" spans="1:6">
      <c r="A41" t="str">
        <f>"T702-17"</f>
        <v>T702-17</v>
      </c>
      <c r="B41" t="str">
        <f t="shared" si="6"/>
        <v>SALITA BRASILE VICINO AL 32-</v>
      </c>
      <c r="C41" t="str">
        <f t="shared" si="3"/>
        <v>4</v>
      </c>
      <c r="D41">
        <v>20</v>
      </c>
      <c r="E41" t="str">
        <f>"343"</f>
        <v>343</v>
      </c>
      <c r="F41" t="str">
        <f t="shared" si="4"/>
        <v>0000</v>
      </c>
    </row>
    <row r="42" spans="1:6">
      <c r="A42" t="str">
        <f>"T702-18"</f>
        <v>T702-18</v>
      </c>
      <c r="B42" t="str">
        <f t="shared" si="6"/>
        <v>SALITA BRASILE VICINO AL 32-</v>
      </c>
      <c r="C42" t="str">
        <f t="shared" si="3"/>
        <v>4</v>
      </c>
      <c r="D42">
        <v>20</v>
      </c>
      <c r="E42" t="str">
        <f>"344"</f>
        <v>344</v>
      </c>
      <c r="F42" t="str">
        <f t="shared" si="4"/>
        <v>0000</v>
      </c>
    </row>
    <row r="43" spans="1:6">
      <c r="A43" t="str">
        <f>"T702-19"</f>
        <v>T702-19</v>
      </c>
      <c r="B43" t="str">
        <f t="shared" si="6"/>
        <v>SALITA BRASILE VICINO AL 32-</v>
      </c>
      <c r="C43" t="str">
        <f t="shared" si="3"/>
        <v>4</v>
      </c>
      <c r="D43">
        <v>20</v>
      </c>
      <c r="E43" t="str">
        <f>"345"</f>
        <v>345</v>
      </c>
      <c r="F43" t="str">
        <f t="shared" si="4"/>
        <v>0000</v>
      </c>
    </row>
    <row r="44" spans="1:6">
      <c r="A44" t="str">
        <f>"T702-20"</f>
        <v>T702-20</v>
      </c>
      <c r="B44" t="str">
        <f t="shared" si="6"/>
        <v>SALITA BRASILE VICINO AL 32-</v>
      </c>
      <c r="C44" t="str">
        <f t="shared" si="3"/>
        <v>4</v>
      </c>
      <c r="D44">
        <v>20</v>
      </c>
      <c r="E44" t="str">
        <f>"640"</f>
        <v>640</v>
      </c>
      <c r="F44" t="str">
        <f t="shared" si="4"/>
        <v>0000</v>
      </c>
    </row>
    <row r="45" spans="1:6">
      <c r="A45" t="str">
        <f>"T702-21"</f>
        <v>T702-21</v>
      </c>
      <c r="B45" t="str">
        <f t="shared" si="6"/>
        <v>SALITA BRASILE VICINO AL 32-</v>
      </c>
      <c r="C45" t="str">
        <f t="shared" si="3"/>
        <v>4</v>
      </c>
      <c r="D45">
        <v>20</v>
      </c>
      <c r="E45" t="str">
        <f>"641"</f>
        <v>641</v>
      </c>
      <c r="F45" t="str">
        <f t="shared" si="4"/>
        <v>0000</v>
      </c>
    </row>
    <row r="46" spans="1:6">
      <c r="A46" t="str">
        <f>"T702-22"</f>
        <v>T702-22</v>
      </c>
      <c r="B46" t="str">
        <f t="shared" si="6"/>
        <v>SALITA BRASILE VICINO AL 32-</v>
      </c>
      <c r="C46" t="str">
        <f t="shared" si="3"/>
        <v>4</v>
      </c>
      <c r="D46">
        <v>20</v>
      </c>
      <c r="E46" t="str">
        <f>"642"</f>
        <v>642</v>
      </c>
      <c r="F46" t="str">
        <f t="shared" si="4"/>
        <v>0000</v>
      </c>
    </row>
    <row r="47" spans="1:6">
      <c r="A47" t="str">
        <f>"T702-23"</f>
        <v>T702-23</v>
      </c>
      <c r="B47" t="str">
        <f t="shared" si="6"/>
        <v>SALITA BRASILE VICINO AL 32-</v>
      </c>
      <c r="C47" t="str">
        <f t="shared" ref="C47:C65" si="7">"4"</f>
        <v>4</v>
      </c>
      <c r="D47">
        <v>20</v>
      </c>
      <c r="E47" t="str">
        <f>"643"</f>
        <v>643</v>
      </c>
      <c r="F47" t="str">
        <f t="shared" si="4"/>
        <v>0000</v>
      </c>
    </row>
    <row r="48" spans="1:6">
      <c r="A48" t="str">
        <f>"T702-24"</f>
        <v>T702-24</v>
      </c>
      <c r="B48" t="str">
        <f t="shared" si="6"/>
        <v>SALITA BRASILE VICINO AL 32-</v>
      </c>
      <c r="C48" t="str">
        <f t="shared" si="7"/>
        <v>4</v>
      </c>
      <c r="D48">
        <v>20</v>
      </c>
      <c r="E48" t="str">
        <f>"644"</f>
        <v>644</v>
      </c>
      <c r="F48" t="str">
        <f t="shared" si="4"/>
        <v>0000</v>
      </c>
    </row>
    <row r="49" spans="1:6">
      <c r="A49" t="str">
        <f>"T702-25"</f>
        <v>T702-25</v>
      </c>
      <c r="B49" t="str">
        <f t="shared" si="6"/>
        <v>SALITA BRASILE VICINO AL 32-</v>
      </c>
      <c r="C49" t="str">
        <f t="shared" si="7"/>
        <v>4</v>
      </c>
      <c r="D49">
        <v>20</v>
      </c>
      <c r="E49" t="str">
        <f>"645"</f>
        <v>645</v>
      </c>
      <c r="F49" t="str">
        <f t="shared" si="4"/>
        <v>0000</v>
      </c>
    </row>
    <row r="50" spans="1:6">
      <c r="A50" t="str">
        <f>"T702-27"</f>
        <v>T702-27</v>
      </c>
      <c r="B50" t="str">
        <f t="shared" si="6"/>
        <v>SALITA BRASILE VICINO AL 32-</v>
      </c>
      <c r="C50" t="str">
        <f t="shared" si="7"/>
        <v>4</v>
      </c>
      <c r="D50">
        <v>20</v>
      </c>
      <c r="E50" t="str">
        <f>"637"</f>
        <v>637</v>
      </c>
      <c r="F50" t="str">
        <f t="shared" si="4"/>
        <v>0000</v>
      </c>
    </row>
    <row r="51" spans="1:6">
      <c r="A51" t="str">
        <f>"T702-28"</f>
        <v>T702-28</v>
      </c>
      <c r="B51" t="str">
        <f t="shared" si="6"/>
        <v>SALITA BRASILE VICINO AL 32-</v>
      </c>
      <c r="C51" t="str">
        <f t="shared" si="7"/>
        <v>4</v>
      </c>
      <c r="D51">
        <v>20</v>
      </c>
      <c r="E51" t="str">
        <f>"334"</f>
        <v>334</v>
      </c>
      <c r="F51" t="str">
        <f t="shared" si="4"/>
        <v>0000</v>
      </c>
    </row>
    <row r="52" spans="1:6">
      <c r="A52" t="str">
        <f>"T702-29"</f>
        <v>T702-29</v>
      </c>
      <c r="B52" t="str">
        <f t="shared" si="6"/>
        <v>SALITA BRASILE VICINO AL 32-</v>
      </c>
      <c r="C52" t="str">
        <f t="shared" si="7"/>
        <v>4</v>
      </c>
      <c r="D52">
        <v>20</v>
      </c>
      <c r="E52" t="str">
        <f>"339"</f>
        <v>339</v>
      </c>
      <c r="F52" t="str">
        <f t="shared" si="4"/>
        <v>0000</v>
      </c>
    </row>
    <row r="53" spans="1:6">
      <c r="A53" t="str">
        <f>"T702-30"</f>
        <v>T702-30</v>
      </c>
      <c r="B53" t="str">
        <f t="shared" si="6"/>
        <v>SALITA BRASILE VICINO AL 32-</v>
      </c>
      <c r="C53" t="str">
        <f t="shared" si="7"/>
        <v>4</v>
      </c>
      <c r="D53">
        <v>20</v>
      </c>
      <c r="E53" t="str">
        <f>"374"</f>
        <v>374</v>
      </c>
      <c r="F53" t="str">
        <f t="shared" si="4"/>
        <v>0000</v>
      </c>
    </row>
    <row r="54" spans="1:6">
      <c r="A54" t="str">
        <f>"T702-31"</f>
        <v>T702-31</v>
      </c>
      <c r="B54" t="str">
        <f t="shared" si="6"/>
        <v>SALITA BRASILE VICINO AL 32-</v>
      </c>
      <c r="C54" t="str">
        <f t="shared" si="7"/>
        <v>4</v>
      </c>
      <c r="D54">
        <v>20</v>
      </c>
      <c r="E54" t="str">
        <f>"1326"</f>
        <v>1326</v>
      </c>
      <c r="F54" t="str">
        <f t="shared" si="4"/>
        <v>0000</v>
      </c>
    </row>
    <row r="55" spans="1:6">
      <c r="A55" t="str">
        <f>"T702-32"</f>
        <v>T702-32</v>
      </c>
      <c r="B55" t="str">
        <f t="shared" si="6"/>
        <v>SALITA BRASILE VICINO AL 32-</v>
      </c>
      <c r="C55" t="str">
        <f t="shared" si="7"/>
        <v>4</v>
      </c>
      <c r="D55">
        <v>20</v>
      </c>
      <c r="E55" t="str">
        <f>"1332"</f>
        <v>1332</v>
      </c>
      <c r="F55" t="str">
        <f t="shared" si="4"/>
        <v>0000</v>
      </c>
    </row>
    <row r="56" spans="1:6">
      <c r="A56" t="str">
        <f>"T702-33"</f>
        <v>T702-33</v>
      </c>
      <c r="B56" t="str">
        <f t="shared" si="6"/>
        <v>SALITA BRASILE VICINO AL 32-</v>
      </c>
      <c r="C56" t="str">
        <f t="shared" si="7"/>
        <v>4</v>
      </c>
      <c r="D56">
        <v>20</v>
      </c>
      <c r="E56" t="str">
        <f>"1333"</f>
        <v>1333</v>
      </c>
      <c r="F56" t="str">
        <f t="shared" si="4"/>
        <v>0000</v>
      </c>
    </row>
    <row r="57" spans="1:6">
      <c r="A57" t="str">
        <f>"T703-1"</f>
        <v>T703-1</v>
      </c>
      <c r="B57" t="str">
        <f>"SALITA BRASILE VICINO AL 46-"</f>
        <v>SALITA BRASILE VICINO AL 46-</v>
      </c>
      <c r="C57" t="str">
        <f t="shared" si="7"/>
        <v>4</v>
      </c>
      <c r="D57">
        <v>20</v>
      </c>
      <c r="E57" t="str">
        <f>"282"</f>
        <v>282</v>
      </c>
      <c r="F57" t="str">
        <f t="shared" si="4"/>
        <v>0000</v>
      </c>
    </row>
    <row r="58" spans="1:6">
      <c r="A58" t="str">
        <f>"T704-1"</f>
        <v>T704-1</v>
      </c>
      <c r="B58" t="str">
        <f>"VIA PASQUALE PASTORINO VICINO AL 3A-"</f>
        <v>VIA PASQUALE PASTORINO VICINO AL 3A-</v>
      </c>
      <c r="C58" t="str">
        <f t="shared" si="7"/>
        <v>4</v>
      </c>
      <c r="D58">
        <v>17</v>
      </c>
      <c r="E58" t="str">
        <f>"114"</f>
        <v>114</v>
      </c>
      <c r="F58" t="str">
        <f t="shared" si="4"/>
        <v>0000</v>
      </c>
    </row>
    <row r="59" spans="1:6">
      <c r="A59" t="str">
        <f>"T704-2"</f>
        <v>T704-2</v>
      </c>
      <c r="B59" t="str">
        <f>"VIA PASQUALE PASTORINO VICINO AL 3A-"</f>
        <v>VIA PASQUALE PASTORINO VICINO AL 3A-</v>
      </c>
      <c r="C59" t="str">
        <f t="shared" si="7"/>
        <v>4</v>
      </c>
      <c r="D59">
        <v>17</v>
      </c>
      <c r="E59" t="str">
        <f>"196"</f>
        <v>196</v>
      </c>
      <c r="F59" t="str">
        <f t="shared" si="4"/>
        <v>0000</v>
      </c>
    </row>
    <row r="60" spans="1:6">
      <c r="A60" t="str">
        <f>"T705-1"</f>
        <v>T705-1</v>
      </c>
      <c r="B60" t="str">
        <f>"VIA CAMPODONICO VICINO AL 61-"</f>
        <v>VIA CAMPODONICO VICINO AL 61-</v>
      </c>
      <c r="C60" t="str">
        <f t="shared" si="7"/>
        <v>4</v>
      </c>
      <c r="D60">
        <v>20</v>
      </c>
      <c r="E60" t="str">
        <f>"99999"</f>
        <v>99999</v>
      </c>
      <c r="F60" t="str">
        <f t="shared" si="4"/>
        <v>0000</v>
      </c>
    </row>
    <row r="61" spans="1:6">
      <c r="A61" t="str">
        <f>"T705-2"</f>
        <v>T705-2</v>
      </c>
      <c r="B61" t="str">
        <f>"VIA CAMPODONICO VICINO AL 61-"</f>
        <v>VIA CAMPODONICO VICINO AL 61-</v>
      </c>
      <c r="C61" t="str">
        <f t="shared" si="7"/>
        <v>4</v>
      </c>
      <c r="D61">
        <v>20</v>
      </c>
      <c r="E61" t="str">
        <f>"99999"</f>
        <v>99999</v>
      </c>
      <c r="F61" t="str">
        <f t="shared" si="4"/>
        <v>0000</v>
      </c>
    </row>
    <row r="62" spans="1:6">
      <c r="A62" t="str">
        <f>"T706-1"</f>
        <v>T706-1</v>
      </c>
      <c r="B62" t="str">
        <f>"VIA CHIESA DI GEMINIANO  250-"</f>
        <v>VIA CHIESA DI GEMINIANO  250-</v>
      </c>
      <c r="C62" t="str">
        <f t="shared" si="7"/>
        <v>4</v>
      </c>
      <c r="D62">
        <v>22</v>
      </c>
      <c r="E62" t="str">
        <f>"57"</f>
        <v>57</v>
      </c>
      <c r="F62" t="str">
        <f t="shared" si="4"/>
        <v>0000</v>
      </c>
    </row>
    <row r="63" spans="1:6">
      <c r="A63" t="str">
        <f>"T706-3"</f>
        <v>T706-3</v>
      </c>
      <c r="B63" t="str">
        <f>"VIA CHIESA DI GEMINIANO  250-"</f>
        <v>VIA CHIESA DI GEMINIANO  250-</v>
      </c>
      <c r="C63" t="str">
        <f t="shared" si="7"/>
        <v>4</v>
      </c>
      <c r="D63">
        <v>22</v>
      </c>
      <c r="E63" t="str">
        <f>"974"</f>
        <v>974</v>
      </c>
      <c r="F63" t="str">
        <f t="shared" si="4"/>
        <v>0000</v>
      </c>
    </row>
    <row r="64" spans="1:6">
      <c r="A64" t="str">
        <f>"T706-4"</f>
        <v>T706-4</v>
      </c>
      <c r="B64" t="str">
        <f>"VIA CHIESA DI GEMINIANO  250-"</f>
        <v>VIA CHIESA DI GEMINIANO  250-</v>
      </c>
      <c r="C64" t="str">
        <f t="shared" si="7"/>
        <v>4</v>
      </c>
      <c r="D64">
        <v>22</v>
      </c>
      <c r="E64" t="str">
        <f>"975"</f>
        <v>975</v>
      </c>
      <c r="F64" t="str">
        <f t="shared" si="4"/>
        <v>0000</v>
      </c>
    </row>
    <row r="65" spans="1:6">
      <c r="A65" t="str">
        <f>"T708-1"</f>
        <v>T708-1</v>
      </c>
      <c r="B65" t="str">
        <f>"VIA COSTANTINO RETA VICINO AL 3-"</f>
        <v>VIA COSTANTINO RETA VICINO AL 3-</v>
      </c>
      <c r="C65" t="str">
        <f t="shared" si="7"/>
        <v>4</v>
      </c>
      <c r="D65">
        <v>23</v>
      </c>
      <c r="E65" t="str">
        <f>"148"</f>
        <v>148</v>
      </c>
      <c r="F65" t="str">
        <f t="shared" si="4"/>
        <v>0000</v>
      </c>
    </row>
    <row r="66" spans="1:6">
      <c r="A66" t="str">
        <f>"T708-2"</f>
        <v>T708-2</v>
      </c>
      <c r="B66" t="str">
        <f>"VIA COSTANTINO RETA VICINO AL 3-"</f>
        <v>VIA COSTANTINO RETA VICINO AL 3-</v>
      </c>
      <c r="C66" t="str">
        <f>"RIV"</f>
        <v>RIV</v>
      </c>
      <c r="D66">
        <v>23</v>
      </c>
      <c r="E66" t="str">
        <f>"579"</f>
        <v>579</v>
      </c>
      <c r="F66" t="str">
        <f t="shared" si="4"/>
        <v>0000</v>
      </c>
    </row>
    <row r="67" spans="1:6">
      <c r="A67" t="str">
        <f>"T708-2"</f>
        <v>T708-2</v>
      </c>
      <c r="B67" t="str">
        <f>"VIA COSTANTINO RETA VICINO AL 3-"</f>
        <v>VIA COSTANTINO RETA VICINO AL 3-</v>
      </c>
      <c r="C67" t="str">
        <f t="shared" ref="C67:C73" si="8">"4"</f>
        <v>4</v>
      </c>
      <c r="D67">
        <v>23</v>
      </c>
      <c r="E67" t="str">
        <f>"579"</f>
        <v>579</v>
      </c>
      <c r="F67" t="str">
        <f t="shared" si="4"/>
        <v>0000</v>
      </c>
    </row>
    <row r="68" spans="1:6">
      <c r="A68" t="str">
        <f>"T710-1"</f>
        <v>T710-1</v>
      </c>
      <c r="B68" t="str">
        <f>"SALITA INFERIORE DI MURTA VICINO AL 10-"</f>
        <v>SALITA INFERIORE DI MURTA VICINO AL 10-</v>
      </c>
      <c r="C68" t="str">
        <f t="shared" si="8"/>
        <v>4</v>
      </c>
      <c r="D68">
        <v>16</v>
      </c>
      <c r="E68" t="str">
        <f>"99999"</f>
        <v>99999</v>
      </c>
      <c r="F68" t="str">
        <f t="shared" si="4"/>
        <v>0000</v>
      </c>
    </row>
    <row r="69" spans="1:6">
      <c r="A69" t="str">
        <f>"T713-1"</f>
        <v>T713-1</v>
      </c>
      <c r="B69" t="str">
        <f>"VIA LODOVICO ARIOSTO VICINO AL 8-"</f>
        <v>VIA LODOVICO ARIOSTO VICINO AL 8-</v>
      </c>
      <c r="C69" t="str">
        <f t="shared" si="8"/>
        <v>4</v>
      </c>
      <c r="D69">
        <v>36</v>
      </c>
      <c r="E69" t="str">
        <f>"320"</f>
        <v>320</v>
      </c>
      <c r="F69" t="str">
        <f t="shared" si="4"/>
        <v>0000</v>
      </c>
    </row>
    <row r="70" spans="1:6">
      <c r="A70" t="str">
        <f>"T713-2"</f>
        <v>T713-2</v>
      </c>
      <c r="B70" t="str">
        <f>"VIA LODOVICO ARIOSTO VICINO AL 8-"</f>
        <v>VIA LODOVICO ARIOSTO VICINO AL 8-</v>
      </c>
      <c r="C70" t="str">
        <f t="shared" si="8"/>
        <v>4</v>
      </c>
      <c r="D70">
        <v>36</v>
      </c>
      <c r="E70" t="str">
        <f>"1121"</f>
        <v>1121</v>
      </c>
      <c r="F70" t="str">
        <f t="shared" si="4"/>
        <v>0000</v>
      </c>
    </row>
    <row r="71" spans="1:6">
      <c r="A71" t="str">
        <f>"T713-3"</f>
        <v>T713-3</v>
      </c>
      <c r="B71" t="str">
        <f>"VIA LODOVICO ARIOSTO VICINO AL 8-"</f>
        <v>VIA LODOVICO ARIOSTO VICINO AL 8-</v>
      </c>
      <c r="C71" t="str">
        <f t="shared" si="8"/>
        <v>4</v>
      </c>
      <c r="D71">
        <v>36</v>
      </c>
      <c r="E71" t="str">
        <f>"322"</f>
        <v>322</v>
      </c>
      <c r="F71" t="str">
        <f t="shared" si="4"/>
        <v>0000</v>
      </c>
    </row>
    <row r="72" spans="1:6">
      <c r="A72" t="str">
        <f>"T716-1"</f>
        <v>T716-1</v>
      </c>
      <c r="B72" t="str">
        <f>"VIA ALLA COSTA DI TEGLIA VICINO AL 15-"</f>
        <v>VIA ALLA COSTA DI TEGLIA VICINO AL 15-</v>
      </c>
      <c r="C72" t="str">
        <f t="shared" si="8"/>
        <v>4</v>
      </c>
      <c r="D72">
        <v>26</v>
      </c>
      <c r="E72" t="str">
        <f>"543"</f>
        <v>543</v>
      </c>
      <c r="F72" t="str">
        <f t="shared" si="4"/>
        <v>0000</v>
      </c>
    </row>
    <row r="73" spans="1:6">
      <c r="A73" t="str">
        <f>"T717-1"</f>
        <v>T717-1</v>
      </c>
      <c r="B73" t="str">
        <f>"PIAZZA RICCARDO RISSOTTO VICINO AL 2-"</f>
        <v>PIAZZA RICCARDO RISSOTTO VICINO AL 2-</v>
      </c>
      <c r="C73" t="str">
        <f t="shared" si="8"/>
        <v>4</v>
      </c>
      <c r="D73">
        <v>18</v>
      </c>
      <c r="E73" t="str">
        <f>"40"</f>
        <v>40</v>
      </c>
      <c r="F73" t="str">
        <f t="shared" si="4"/>
        <v>0000</v>
      </c>
    </row>
    <row r="74" spans="1:6">
      <c r="A74" t="str">
        <f>"T718-1"</f>
        <v>T718-1</v>
      </c>
      <c r="B74" t="str">
        <f t="shared" ref="B74:B82" si="9">"VIA DEI MOLINUSSI VICINO AL 60-"</f>
        <v>VIA DEI MOLINUSSI VICINO AL 60-</v>
      </c>
      <c r="C74" t="str">
        <f t="shared" ref="C74:C83" si="10">"3"</f>
        <v>3</v>
      </c>
      <c r="D74">
        <v>67</v>
      </c>
      <c r="E74" t="str">
        <f>"178"</f>
        <v>178</v>
      </c>
      <c r="F74" t="str">
        <f t="shared" si="4"/>
        <v>0000</v>
      </c>
    </row>
    <row r="75" spans="1:6">
      <c r="A75" t="str">
        <f>"T718-11"</f>
        <v>T718-11</v>
      </c>
      <c r="B75" t="str">
        <f t="shared" si="9"/>
        <v>VIA DEI MOLINUSSI VICINO AL 60-</v>
      </c>
      <c r="C75" t="str">
        <f t="shared" si="10"/>
        <v>3</v>
      </c>
      <c r="D75">
        <v>68</v>
      </c>
      <c r="E75" t="str">
        <f>"57"</f>
        <v>57</v>
      </c>
      <c r="F75" t="str">
        <f t="shared" si="4"/>
        <v>0000</v>
      </c>
    </row>
    <row r="76" spans="1:6">
      <c r="A76" t="str">
        <f>"T718-12"</f>
        <v>T718-12</v>
      </c>
      <c r="B76" t="str">
        <f t="shared" si="9"/>
        <v>VIA DEI MOLINUSSI VICINO AL 60-</v>
      </c>
      <c r="C76" t="str">
        <f t="shared" si="10"/>
        <v>3</v>
      </c>
      <c r="D76">
        <v>67</v>
      </c>
      <c r="E76" t="str">
        <f>"1099"</f>
        <v>1099</v>
      </c>
      <c r="F76" t="str">
        <f t="shared" si="4"/>
        <v>0000</v>
      </c>
    </row>
    <row r="77" spans="1:6">
      <c r="A77" t="str">
        <f>"T718-14"</f>
        <v>T718-14</v>
      </c>
      <c r="B77" t="str">
        <f t="shared" si="9"/>
        <v>VIA DEI MOLINUSSI VICINO AL 60-</v>
      </c>
      <c r="C77" t="str">
        <f t="shared" si="10"/>
        <v>3</v>
      </c>
      <c r="D77">
        <v>67</v>
      </c>
      <c r="E77" t="str">
        <f>"1101"</f>
        <v>1101</v>
      </c>
      <c r="F77" t="str">
        <f t="shared" si="4"/>
        <v>0000</v>
      </c>
    </row>
    <row r="78" spans="1:6">
      <c r="A78" t="str">
        <f>"T718-18"</f>
        <v>T718-18</v>
      </c>
      <c r="B78" t="str">
        <f t="shared" si="9"/>
        <v>VIA DEI MOLINUSSI VICINO AL 60-</v>
      </c>
      <c r="C78" t="str">
        <f t="shared" si="10"/>
        <v>3</v>
      </c>
      <c r="D78">
        <v>67</v>
      </c>
      <c r="E78" t="str">
        <f>"1105"</f>
        <v>1105</v>
      </c>
      <c r="F78" t="str">
        <f t="shared" si="4"/>
        <v>0000</v>
      </c>
    </row>
    <row r="79" spans="1:6">
      <c r="A79" t="str">
        <f>"T718-22"</f>
        <v>T718-22</v>
      </c>
      <c r="B79" t="str">
        <f t="shared" si="9"/>
        <v>VIA DEI MOLINUSSI VICINO AL 60-</v>
      </c>
      <c r="C79" t="str">
        <f t="shared" si="10"/>
        <v>3</v>
      </c>
      <c r="D79">
        <v>67</v>
      </c>
      <c r="E79" t="str">
        <f>"1221"</f>
        <v>1221</v>
      </c>
      <c r="F79" t="str">
        <f t="shared" ref="F79:F142" si="11">"0000"</f>
        <v>0000</v>
      </c>
    </row>
    <row r="80" spans="1:6">
      <c r="A80" t="str">
        <f>"T718-25"</f>
        <v>T718-25</v>
      </c>
      <c r="B80" t="str">
        <f t="shared" si="9"/>
        <v>VIA DEI MOLINUSSI VICINO AL 60-</v>
      </c>
      <c r="C80" t="str">
        <f t="shared" si="10"/>
        <v>3</v>
      </c>
      <c r="D80">
        <v>67</v>
      </c>
      <c r="E80" t="str">
        <f>"1218"</f>
        <v>1218</v>
      </c>
      <c r="F80" t="str">
        <f t="shared" si="11"/>
        <v>0000</v>
      </c>
    </row>
    <row r="81" spans="1:6">
      <c r="A81" t="str">
        <f>"T718-28"</f>
        <v>T718-28</v>
      </c>
      <c r="B81" t="str">
        <f t="shared" si="9"/>
        <v>VIA DEI MOLINUSSI VICINO AL 60-</v>
      </c>
      <c r="C81" t="str">
        <f t="shared" si="10"/>
        <v>3</v>
      </c>
      <c r="D81">
        <v>68</v>
      </c>
      <c r="E81" t="str">
        <f>"460"</f>
        <v>460</v>
      </c>
      <c r="F81" t="str">
        <f t="shared" si="11"/>
        <v>0000</v>
      </c>
    </row>
    <row r="82" spans="1:6">
      <c r="A82" t="str">
        <f>"T718-30"</f>
        <v>T718-30</v>
      </c>
      <c r="B82" t="str">
        <f t="shared" si="9"/>
        <v>VIA DEI MOLINUSSI VICINO AL 60-</v>
      </c>
      <c r="C82" t="str">
        <f t="shared" si="10"/>
        <v>3</v>
      </c>
      <c r="D82">
        <v>68</v>
      </c>
      <c r="E82" t="str">
        <f>"462"</f>
        <v>462</v>
      </c>
      <c r="F82" t="str">
        <f t="shared" si="11"/>
        <v>0000</v>
      </c>
    </row>
    <row r="83" spans="1:6">
      <c r="A83" t="str">
        <f>"T720-1"</f>
        <v>T720-1</v>
      </c>
      <c r="B83" t="str">
        <f>"VIA BORZOLI VICINO AL 92-"</f>
        <v>VIA BORZOLI VICINO AL 92-</v>
      </c>
      <c r="C83" t="str">
        <f t="shared" si="10"/>
        <v>3</v>
      </c>
      <c r="D83">
        <v>69</v>
      </c>
      <c r="E83" t="str">
        <f>"62"</f>
        <v>62</v>
      </c>
      <c r="F83" t="str">
        <f t="shared" si="11"/>
        <v>0000</v>
      </c>
    </row>
    <row r="84" spans="1:6">
      <c r="A84" t="str">
        <f>"T722-1"</f>
        <v>T722-1</v>
      </c>
      <c r="B84" t="str">
        <f>"VIA MONFENERA VICINO AL 9A-"</f>
        <v>VIA MONFENERA VICINO AL 9A-</v>
      </c>
      <c r="C84" t="str">
        <f>"4"</f>
        <v>4</v>
      </c>
      <c r="D84">
        <v>16</v>
      </c>
      <c r="E84" t="str">
        <f>"352"</f>
        <v>352</v>
      </c>
      <c r="F84" t="str">
        <f t="shared" si="11"/>
        <v>0000</v>
      </c>
    </row>
    <row r="85" spans="1:6">
      <c r="A85" t="str">
        <f>"T722-2"</f>
        <v>T722-2</v>
      </c>
      <c r="B85" t="str">
        <f>"VIA MONFENERA VICINO AL 9A-"</f>
        <v>VIA MONFENERA VICINO AL 9A-</v>
      </c>
      <c r="C85" t="str">
        <f>"4"</f>
        <v>4</v>
      </c>
      <c r="D85">
        <v>16</v>
      </c>
      <c r="E85" t="str">
        <f>"353"</f>
        <v>353</v>
      </c>
      <c r="F85" t="str">
        <f t="shared" si="11"/>
        <v>0000</v>
      </c>
    </row>
    <row r="86" spans="1:6">
      <c r="A86" t="str">
        <f>"T723-1"</f>
        <v>T723-1</v>
      </c>
      <c r="B86" t="str">
        <f>"VIA BENEDETTO DA CESINO  25-"</f>
        <v>VIA BENEDETTO DA CESINO  25-</v>
      </c>
      <c r="C86" t="str">
        <f>"4"</f>
        <v>4</v>
      </c>
      <c r="D86">
        <v>2</v>
      </c>
      <c r="E86" t="str">
        <f>"210"</f>
        <v>210</v>
      </c>
      <c r="F86" t="str">
        <f t="shared" si="11"/>
        <v>0000</v>
      </c>
    </row>
    <row r="87" spans="1:6">
      <c r="A87" t="str">
        <f>"T723-2"</f>
        <v>T723-2</v>
      </c>
      <c r="B87" t="str">
        <f>"VIA BENEDETTO DA CESINO  25-"</f>
        <v>VIA BENEDETTO DA CESINO  25-</v>
      </c>
      <c r="C87" t="str">
        <f>"4"</f>
        <v>4</v>
      </c>
      <c r="D87">
        <v>2</v>
      </c>
      <c r="E87" t="str">
        <f>"395"</f>
        <v>395</v>
      </c>
      <c r="F87" t="str">
        <f t="shared" si="11"/>
        <v>0000</v>
      </c>
    </row>
    <row r="88" spans="1:6">
      <c r="A88" t="str">
        <f>"T724-1"</f>
        <v>T724-1</v>
      </c>
      <c r="B88" t="str">
        <f>"PIAZZA RICCARDO RISSOTTO VICINO AL 2-"</f>
        <v>PIAZZA RICCARDO RISSOTTO VICINO AL 2-</v>
      </c>
      <c r="C88" t="str">
        <f>"4"</f>
        <v>4</v>
      </c>
      <c r="D88">
        <v>18</v>
      </c>
      <c r="E88" t="str">
        <f>"40"</f>
        <v>40</v>
      </c>
      <c r="F88" t="str">
        <f t="shared" si="11"/>
        <v>0000</v>
      </c>
    </row>
    <row r="89" spans="1:6">
      <c r="A89" t="str">
        <f>"T727-4"</f>
        <v>T727-4</v>
      </c>
      <c r="B89" t="str">
        <f>"VIA GERMANO JORI VICINO AL 60-"</f>
        <v>VIA GERMANO JORI VICINO AL 60-</v>
      </c>
      <c r="C89" t="str">
        <f>"RIV"</f>
        <v>RIV</v>
      </c>
      <c r="D89">
        <v>35</v>
      </c>
      <c r="E89" t="str">
        <f>"920"</f>
        <v>920</v>
      </c>
      <c r="F89" t="str">
        <f t="shared" si="11"/>
        <v>0000</v>
      </c>
    </row>
    <row r="90" spans="1:6">
      <c r="A90" t="str">
        <f>"T727-4"</f>
        <v>T727-4</v>
      </c>
      <c r="B90" t="str">
        <f>"VIA GERMANO JORI VICINO AL 60-"</f>
        <v>VIA GERMANO JORI VICINO AL 60-</v>
      </c>
      <c r="C90" t="str">
        <f t="shared" ref="C90:C121" si="12">"4"</f>
        <v>4</v>
      </c>
      <c r="D90">
        <v>35</v>
      </c>
      <c r="E90" t="str">
        <f>"920"</f>
        <v>920</v>
      </c>
      <c r="F90" t="str">
        <f t="shared" si="11"/>
        <v>0000</v>
      </c>
    </row>
    <row r="91" spans="1:6">
      <c r="A91" t="str">
        <f>"T727-5"</f>
        <v>T727-5</v>
      </c>
      <c r="B91" t="str">
        <f>"VIA GERMANO JORI VICINO AL 60-"</f>
        <v>VIA GERMANO JORI VICINO AL 60-</v>
      </c>
      <c r="C91" t="str">
        <f t="shared" si="12"/>
        <v>4</v>
      </c>
      <c r="D91">
        <v>35</v>
      </c>
      <c r="E91" t="str">
        <f>"952"</f>
        <v>952</v>
      </c>
      <c r="F91" t="str">
        <f t="shared" si="11"/>
        <v>0000</v>
      </c>
    </row>
    <row r="92" spans="1:6">
      <c r="A92" t="str">
        <f>"T728-1"</f>
        <v>T728-1</v>
      </c>
      <c r="B92" t="str">
        <f>"VIA P NEGROTTO CAMBIASO VICINO AL 139-"</f>
        <v>VIA P NEGROTTO CAMBIASO VICINO AL 139-</v>
      </c>
      <c r="C92" t="str">
        <f t="shared" si="12"/>
        <v>4</v>
      </c>
      <c r="D92">
        <v>27</v>
      </c>
      <c r="E92" t="str">
        <f>"457"</f>
        <v>457</v>
      </c>
      <c r="F92" t="str">
        <f t="shared" si="11"/>
        <v>0000</v>
      </c>
    </row>
    <row r="93" spans="1:6">
      <c r="A93" t="str">
        <f>"T729-1"</f>
        <v>T729-1</v>
      </c>
      <c r="B93" t="str">
        <f t="shared" ref="B93:B103" si="13">"VIA S BIAGIO DI VALPOLCEV  24-"</f>
        <v>VIA S BIAGIO DI VALPOLCEV  24-</v>
      </c>
      <c r="C93" t="str">
        <f t="shared" si="12"/>
        <v>4</v>
      </c>
      <c r="D93">
        <v>10</v>
      </c>
      <c r="E93" t="str">
        <f>"84"</f>
        <v>84</v>
      </c>
      <c r="F93" t="str">
        <f t="shared" si="11"/>
        <v>0000</v>
      </c>
    </row>
    <row r="94" spans="1:6">
      <c r="A94" t="str">
        <f>"T729-2"</f>
        <v>T729-2</v>
      </c>
      <c r="B94" t="str">
        <f t="shared" si="13"/>
        <v>VIA S BIAGIO DI VALPOLCEV  24-</v>
      </c>
      <c r="C94" t="str">
        <f t="shared" si="12"/>
        <v>4</v>
      </c>
      <c r="D94">
        <v>10</v>
      </c>
      <c r="E94" t="str">
        <f>"85"</f>
        <v>85</v>
      </c>
      <c r="F94" t="str">
        <f t="shared" si="11"/>
        <v>0000</v>
      </c>
    </row>
    <row r="95" spans="1:6">
      <c r="A95" t="str">
        <f>"T729-3"</f>
        <v>T729-3</v>
      </c>
      <c r="B95" t="str">
        <f t="shared" si="13"/>
        <v>VIA S BIAGIO DI VALPOLCEV  24-</v>
      </c>
      <c r="C95" t="str">
        <f t="shared" si="12"/>
        <v>4</v>
      </c>
      <c r="D95">
        <v>10</v>
      </c>
      <c r="E95" t="str">
        <f>"205"</f>
        <v>205</v>
      </c>
      <c r="F95" t="str">
        <f t="shared" si="11"/>
        <v>0000</v>
      </c>
    </row>
    <row r="96" spans="1:6">
      <c r="A96" t="str">
        <f>"T729-4"</f>
        <v>T729-4</v>
      </c>
      <c r="B96" t="str">
        <f t="shared" si="13"/>
        <v>VIA S BIAGIO DI VALPOLCEV  24-</v>
      </c>
      <c r="C96" t="str">
        <f t="shared" si="12"/>
        <v>4</v>
      </c>
      <c r="D96">
        <v>10</v>
      </c>
      <c r="E96" t="str">
        <f>"206"</f>
        <v>206</v>
      </c>
      <c r="F96" t="str">
        <f t="shared" si="11"/>
        <v>0000</v>
      </c>
    </row>
    <row r="97" spans="1:6">
      <c r="A97" t="str">
        <f>"T729-5"</f>
        <v>T729-5</v>
      </c>
      <c r="B97" t="str">
        <f t="shared" si="13"/>
        <v>VIA S BIAGIO DI VALPOLCEV  24-</v>
      </c>
      <c r="C97" t="str">
        <f t="shared" si="12"/>
        <v>4</v>
      </c>
      <c r="D97">
        <v>10</v>
      </c>
      <c r="E97" t="str">
        <f>"90"</f>
        <v>90</v>
      </c>
      <c r="F97" t="str">
        <f t="shared" si="11"/>
        <v>0000</v>
      </c>
    </row>
    <row r="98" spans="1:6">
      <c r="A98" t="str">
        <f>"T729-6"</f>
        <v>T729-6</v>
      </c>
      <c r="B98" t="str">
        <f t="shared" si="13"/>
        <v>VIA S BIAGIO DI VALPOLCEV  24-</v>
      </c>
      <c r="C98" t="str">
        <f t="shared" si="12"/>
        <v>4</v>
      </c>
      <c r="D98">
        <v>10</v>
      </c>
      <c r="E98" t="str">
        <f>"91"</f>
        <v>91</v>
      </c>
      <c r="F98" t="str">
        <f t="shared" si="11"/>
        <v>0000</v>
      </c>
    </row>
    <row r="99" spans="1:6">
      <c r="A99" t="str">
        <f>"T729-7"</f>
        <v>T729-7</v>
      </c>
      <c r="B99" t="str">
        <f t="shared" si="13"/>
        <v>VIA S BIAGIO DI VALPOLCEV  24-</v>
      </c>
      <c r="C99" t="str">
        <f t="shared" si="12"/>
        <v>4</v>
      </c>
      <c r="D99">
        <v>10</v>
      </c>
      <c r="E99" t="str">
        <f>"92"</f>
        <v>92</v>
      </c>
      <c r="F99" t="str">
        <f t="shared" si="11"/>
        <v>0000</v>
      </c>
    </row>
    <row r="100" spans="1:6">
      <c r="A100" t="str">
        <f>"T729-8"</f>
        <v>T729-8</v>
      </c>
      <c r="B100" t="str">
        <f t="shared" si="13"/>
        <v>VIA S BIAGIO DI VALPOLCEV  24-</v>
      </c>
      <c r="C100" t="str">
        <f t="shared" si="12"/>
        <v>4</v>
      </c>
      <c r="D100">
        <v>10</v>
      </c>
      <c r="E100" t="str">
        <f>"148"</f>
        <v>148</v>
      </c>
      <c r="F100" t="str">
        <f t="shared" si="11"/>
        <v>0000</v>
      </c>
    </row>
    <row r="101" spans="1:6">
      <c r="A101" t="str">
        <f>"T729-9"</f>
        <v>T729-9</v>
      </c>
      <c r="B101" t="str">
        <f t="shared" si="13"/>
        <v>VIA S BIAGIO DI VALPOLCEV  24-</v>
      </c>
      <c r="C101" t="str">
        <f t="shared" si="12"/>
        <v>4</v>
      </c>
      <c r="D101">
        <v>10</v>
      </c>
      <c r="E101" t="str">
        <f>"199"</f>
        <v>199</v>
      </c>
      <c r="F101" t="str">
        <f t="shared" si="11"/>
        <v>0000</v>
      </c>
    </row>
    <row r="102" spans="1:6">
      <c r="A102" t="str">
        <f>"T729-10"</f>
        <v>T729-10</v>
      </c>
      <c r="B102" t="str">
        <f t="shared" si="13"/>
        <v>VIA S BIAGIO DI VALPOLCEV  24-</v>
      </c>
      <c r="C102" t="str">
        <f t="shared" si="12"/>
        <v>4</v>
      </c>
      <c r="D102">
        <v>10</v>
      </c>
      <c r="E102" t="str">
        <f>"200"</f>
        <v>200</v>
      </c>
      <c r="F102" t="str">
        <f t="shared" si="11"/>
        <v>0000</v>
      </c>
    </row>
    <row r="103" spans="1:6">
      <c r="A103" t="str">
        <f>"T729-12"</f>
        <v>T729-12</v>
      </c>
      <c r="B103" t="str">
        <f t="shared" si="13"/>
        <v>VIA S BIAGIO DI VALPOLCEV  24-</v>
      </c>
      <c r="C103" t="str">
        <f t="shared" si="12"/>
        <v>4</v>
      </c>
      <c r="D103">
        <v>10</v>
      </c>
      <c r="E103" t="str">
        <f>"383"</f>
        <v>383</v>
      </c>
      <c r="F103" t="str">
        <f t="shared" si="11"/>
        <v>0000</v>
      </c>
    </row>
    <row r="104" spans="1:6">
      <c r="A104" t="str">
        <f>"T730-1"</f>
        <v>T730-1</v>
      </c>
      <c r="B104" t="str">
        <f>"VIA GIUSEPPE SALVAREZZA VICINO AL 9-"</f>
        <v>VIA GIUSEPPE SALVAREZZA VICINO AL 9-</v>
      </c>
      <c r="C104" t="str">
        <f t="shared" si="12"/>
        <v>4</v>
      </c>
      <c r="D104">
        <v>24</v>
      </c>
      <c r="E104" t="str">
        <f>"70"</f>
        <v>70</v>
      </c>
      <c r="F104" t="str">
        <f t="shared" si="11"/>
        <v>0000</v>
      </c>
    </row>
    <row r="105" spans="1:6">
      <c r="A105" t="str">
        <f>"T732-1"</f>
        <v>T732-1</v>
      </c>
      <c r="B105" t="str">
        <f>"VIA CAMPOMORONE VICINO AL 34B-"</f>
        <v>VIA CAMPOMORONE VICINO AL 34B-</v>
      </c>
      <c r="C105" t="str">
        <f t="shared" si="12"/>
        <v>4</v>
      </c>
      <c r="D105">
        <v>3</v>
      </c>
      <c r="E105" t="str">
        <f>"43"</f>
        <v>43</v>
      </c>
      <c r="F105" t="str">
        <f t="shared" si="11"/>
        <v>0000</v>
      </c>
    </row>
    <row r="106" spans="1:6">
      <c r="A106" t="str">
        <f>"T732-2"</f>
        <v>T732-2</v>
      </c>
      <c r="B106" t="str">
        <f>"VIA CAMPOMORONE VICINO AL 34B-"</f>
        <v>VIA CAMPOMORONE VICINO AL 34B-</v>
      </c>
      <c r="C106" t="str">
        <f t="shared" si="12"/>
        <v>4</v>
      </c>
      <c r="D106">
        <v>3</v>
      </c>
      <c r="E106" t="str">
        <f>"428"</f>
        <v>428</v>
      </c>
      <c r="F106" t="str">
        <f t="shared" si="11"/>
        <v>0000</v>
      </c>
    </row>
    <row r="107" spans="1:6">
      <c r="A107" t="str">
        <f>"T732-3"</f>
        <v>T732-3</v>
      </c>
      <c r="B107" t="str">
        <f>"VIA CAMPOMORONE VICINO AL 34B-"</f>
        <v>VIA CAMPOMORONE VICINO AL 34B-</v>
      </c>
      <c r="C107" t="str">
        <f t="shared" si="12"/>
        <v>4</v>
      </c>
      <c r="D107">
        <v>3</v>
      </c>
      <c r="E107" t="str">
        <f>"429"</f>
        <v>429</v>
      </c>
      <c r="F107" t="str">
        <f t="shared" si="11"/>
        <v>0000</v>
      </c>
    </row>
    <row r="108" spans="1:6">
      <c r="A108" t="str">
        <f>"T732-4"</f>
        <v>T732-4</v>
      </c>
      <c r="B108" t="str">
        <f>"VIA CAMPOMORONE VICINO AL 34B-"</f>
        <v>VIA CAMPOMORONE VICINO AL 34B-</v>
      </c>
      <c r="C108" t="str">
        <f t="shared" si="12"/>
        <v>4</v>
      </c>
      <c r="D108">
        <v>3</v>
      </c>
      <c r="E108" t="str">
        <f>"432"</f>
        <v>432</v>
      </c>
      <c r="F108" t="str">
        <f t="shared" si="11"/>
        <v>0000</v>
      </c>
    </row>
    <row r="109" spans="1:6">
      <c r="A109" t="str">
        <f>"T733-1"</f>
        <v>T733-1</v>
      </c>
      <c r="B109" t="str">
        <f>"VIA GIROLAMO GASTALDI VICINO AL 19-"</f>
        <v>VIA GIROLAMO GASTALDI VICINO AL 19-</v>
      </c>
      <c r="C109" t="str">
        <f t="shared" si="12"/>
        <v>4</v>
      </c>
      <c r="D109">
        <v>6</v>
      </c>
      <c r="E109" t="str">
        <f>"185"</f>
        <v>185</v>
      </c>
      <c r="F109" t="str">
        <f t="shared" si="11"/>
        <v>0000</v>
      </c>
    </row>
    <row r="110" spans="1:6">
      <c r="A110" t="str">
        <f>"T734-1"</f>
        <v>T734-1</v>
      </c>
      <c r="B110" t="str">
        <f>"VIA SAN QUIRICO VICINO AL 51-"</f>
        <v>VIA SAN QUIRICO VICINO AL 51-</v>
      </c>
      <c r="C110" t="str">
        <f t="shared" si="12"/>
        <v>4</v>
      </c>
      <c r="D110">
        <v>9</v>
      </c>
      <c r="E110" t="str">
        <f>"A"</f>
        <v>A</v>
      </c>
      <c r="F110" t="str">
        <f t="shared" si="11"/>
        <v>0000</v>
      </c>
    </row>
    <row r="111" spans="1:6">
      <c r="A111" t="str">
        <f>"T735-1"</f>
        <v>T735-1</v>
      </c>
      <c r="B111" t="str">
        <f>"VIA SAN QUIRICO VICINO AL 51-"</f>
        <v>VIA SAN QUIRICO VICINO AL 51-</v>
      </c>
      <c r="C111" t="str">
        <f t="shared" si="12"/>
        <v>4</v>
      </c>
      <c r="D111">
        <v>9</v>
      </c>
      <c r="E111" t="str">
        <f>"2"</f>
        <v>2</v>
      </c>
      <c r="F111" t="str">
        <f t="shared" si="11"/>
        <v>0000</v>
      </c>
    </row>
    <row r="112" spans="1:6">
      <c r="A112" t="str">
        <f>"T735-2"</f>
        <v>T735-2</v>
      </c>
      <c r="B112" t="str">
        <f>"VIA SAN QUIRICO VICINO AL 51-"</f>
        <v>VIA SAN QUIRICO VICINO AL 51-</v>
      </c>
      <c r="C112" t="str">
        <f t="shared" si="12"/>
        <v>4</v>
      </c>
      <c r="D112">
        <v>9</v>
      </c>
      <c r="E112" t="str">
        <f>"3"</f>
        <v>3</v>
      </c>
      <c r="F112" t="str">
        <f t="shared" si="11"/>
        <v>0000</v>
      </c>
    </row>
    <row r="113" spans="1:6">
      <c r="A113" t="str">
        <f>"T735-4"</f>
        <v>T735-4</v>
      </c>
      <c r="B113" t="str">
        <f>"VIA SAN QUIRICO VICINO AL 51-"</f>
        <v>VIA SAN QUIRICO VICINO AL 51-</v>
      </c>
      <c r="C113" t="str">
        <f t="shared" si="12"/>
        <v>4</v>
      </c>
      <c r="D113">
        <v>9</v>
      </c>
      <c r="E113" t="str">
        <f>"237"</f>
        <v>237</v>
      </c>
      <c r="F113" t="str">
        <f t="shared" si="11"/>
        <v>0000</v>
      </c>
    </row>
    <row r="114" spans="1:6">
      <c r="A114" t="str">
        <f>"T735-5"</f>
        <v>T735-5</v>
      </c>
      <c r="B114" t="str">
        <f>"VIA SAN QUIRICO VICINO AL 51-"</f>
        <v>VIA SAN QUIRICO VICINO AL 51-</v>
      </c>
      <c r="C114" t="str">
        <f t="shared" si="12"/>
        <v>4</v>
      </c>
      <c r="D114">
        <v>9</v>
      </c>
      <c r="E114" t="str">
        <f>"281"</f>
        <v>281</v>
      </c>
      <c r="F114" t="str">
        <f t="shared" si="11"/>
        <v>0000</v>
      </c>
    </row>
    <row r="115" spans="1:6">
      <c r="A115" t="str">
        <f>"T736-1"</f>
        <v>T736-1</v>
      </c>
      <c r="B115" t="str">
        <f>"VIA CAMPO DI TIRO VICINO AL 29-"</f>
        <v>VIA CAMPO DI TIRO VICINO AL 29-</v>
      </c>
      <c r="C115" t="str">
        <f t="shared" si="12"/>
        <v>4</v>
      </c>
      <c r="D115">
        <v>3</v>
      </c>
      <c r="E115" t="str">
        <f>"175"</f>
        <v>175</v>
      </c>
      <c r="F115" t="str">
        <f t="shared" si="11"/>
        <v>0000</v>
      </c>
    </row>
    <row r="116" spans="1:6">
      <c r="A116" t="str">
        <f>"T736-2"</f>
        <v>T736-2</v>
      </c>
      <c r="B116" t="str">
        <f>"VIA CAMPO DI TIRO VICINO AL 29-"</f>
        <v>VIA CAMPO DI TIRO VICINO AL 29-</v>
      </c>
      <c r="C116" t="str">
        <f t="shared" si="12"/>
        <v>4</v>
      </c>
      <c r="D116">
        <v>3</v>
      </c>
      <c r="E116" t="str">
        <f>"310"</f>
        <v>310</v>
      </c>
      <c r="F116" t="str">
        <f t="shared" si="11"/>
        <v>0000</v>
      </c>
    </row>
    <row r="117" spans="1:6">
      <c r="A117" t="str">
        <f>"T737-1"</f>
        <v>T737-1</v>
      </c>
      <c r="B117" t="str">
        <f>"VIA MANSUETO VICINO AL 92-"</f>
        <v>VIA MANSUETO VICINO AL 92-</v>
      </c>
      <c r="C117" t="str">
        <f t="shared" si="12"/>
        <v>4</v>
      </c>
      <c r="D117">
        <v>36</v>
      </c>
      <c r="E117" t="str">
        <f>"254"</f>
        <v>254</v>
      </c>
      <c r="F117" t="str">
        <f t="shared" si="11"/>
        <v>0000</v>
      </c>
    </row>
    <row r="118" spans="1:6">
      <c r="A118" t="str">
        <f>"T737-2"</f>
        <v>T737-2</v>
      </c>
      <c r="B118" t="str">
        <f>"VIA MANSUETO VICINO AL 92-"</f>
        <v>VIA MANSUETO VICINO AL 92-</v>
      </c>
      <c r="C118" t="str">
        <f t="shared" si="12"/>
        <v>4</v>
      </c>
      <c r="D118">
        <v>36</v>
      </c>
      <c r="E118" t="str">
        <f>"769"</f>
        <v>769</v>
      </c>
      <c r="F118" t="str">
        <f t="shared" si="11"/>
        <v>0000</v>
      </c>
    </row>
    <row r="119" spans="1:6">
      <c r="A119" t="str">
        <f>"T737-3"</f>
        <v>T737-3</v>
      </c>
      <c r="B119" t="str">
        <f>"VIA MANSUETO VICINO AL 92-"</f>
        <v>VIA MANSUETO VICINO AL 92-</v>
      </c>
      <c r="C119" t="str">
        <f t="shared" si="12"/>
        <v>4</v>
      </c>
      <c r="D119">
        <v>36</v>
      </c>
      <c r="E119" t="str">
        <f>"844"</f>
        <v>844</v>
      </c>
      <c r="F119" t="str">
        <f t="shared" si="11"/>
        <v>0000</v>
      </c>
    </row>
    <row r="120" spans="1:6">
      <c r="A120" t="str">
        <f>"T739-1"</f>
        <v>T739-1</v>
      </c>
      <c r="B120" t="str">
        <f>"VIA P NEGROTTO CAMBIASO VICINO AL 221-"</f>
        <v>VIA P NEGROTTO CAMBIASO VICINO AL 221-</v>
      </c>
      <c r="C120" t="str">
        <f t="shared" si="12"/>
        <v>4</v>
      </c>
      <c r="D120">
        <v>30</v>
      </c>
      <c r="E120" t="str">
        <f>"1004"</f>
        <v>1004</v>
      </c>
      <c r="F120" t="str">
        <f t="shared" si="11"/>
        <v>0000</v>
      </c>
    </row>
    <row r="121" spans="1:6">
      <c r="A121" t="str">
        <f>"T740-1"</f>
        <v>T740-1</v>
      </c>
      <c r="B121" t="str">
        <f>"VIA PASQUALE PASTORINO VICINO AL 8-"</f>
        <v>VIA PASQUALE PASTORINO VICINO AL 8-</v>
      </c>
      <c r="C121" t="str">
        <f t="shared" si="12"/>
        <v>4</v>
      </c>
      <c r="D121">
        <v>18</v>
      </c>
      <c r="E121" t="str">
        <f>"10"</f>
        <v>10</v>
      </c>
      <c r="F121" t="str">
        <f t="shared" si="11"/>
        <v>0000</v>
      </c>
    </row>
    <row r="122" spans="1:6">
      <c r="A122" t="str">
        <f>"T741-1"</f>
        <v>T741-1</v>
      </c>
      <c r="B122" t="str">
        <f>"SALITA AL GARBO VICINO AL 45-"</f>
        <v>SALITA AL GARBO VICINO AL 45-</v>
      </c>
      <c r="C122" t="str">
        <f t="shared" ref="C122:C153" si="14">"4"</f>
        <v>4</v>
      </c>
      <c r="D122">
        <v>37</v>
      </c>
      <c r="E122" t="str">
        <f>"215"</f>
        <v>215</v>
      </c>
      <c r="F122" t="str">
        <f t="shared" si="11"/>
        <v>0000</v>
      </c>
    </row>
    <row r="123" spans="1:6">
      <c r="A123" t="str">
        <f>"T742-1"</f>
        <v>T742-1</v>
      </c>
      <c r="B123" t="str">
        <f>"VIA CARNIA VICINO AL 57-"</f>
        <v>VIA CARNIA VICINO AL 57-</v>
      </c>
      <c r="C123" t="str">
        <f t="shared" si="14"/>
        <v>4</v>
      </c>
      <c r="D123">
        <v>26</v>
      </c>
      <c r="E123" t="str">
        <f>"175"</f>
        <v>175</v>
      </c>
      <c r="F123" t="str">
        <f t="shared" si="11"/>
        <v>0000</v>
      </c>
    </row>
    <row r="124" spans="1:6">
      <c r="A124" t="str">
        <f>"T742-2"</f>
        <v>T742-2</v>
      </c>
      <c r="B124" t="str">
        <f>"VIA CARNIA VICINO AL 57-"</f>
        <v>VIA CARNIA VICINO AL 57-</v>
      </c>
      <c r="C124" t="str">
        <f t="shared" si="14"/>
        <v>4</v>
      </c>
      <c r="D124">
        <v>26</v>
      </c>
      <c r="E124" t="str">
        <f>"564"</f>
        <v>564</v>
      </c>
      <c r="F124" t="str">
        <f t="shared" si="11"/>
        <v>0000</v>
      </c>
    </row>
    <row r="125" spans="1:6">
      <c r="A125" t="str">
        <f>"T742-4"</f>
        <v>T742-4</v>
      </c>
      <c r="B125" t="str">
        <f>"VIA CARNIA VICINO AL 57-"</f>
        <v>VIA CARNIA VICINO AL 57-</v>
      </c>
      <c r="C125" t="str">
        <f t="shared" si="14"/>
        <v>4</v>
      </c>
      <c r="D125">
        <v>26</v>
      </c>
      <c r="E125" t="str">
        <f>"2088"</f>
        <v>2088</v>
      </c>
      <c r="F125" t="str">
        <f t="shared" si="11"/>
        <v>0000</v>
      </c>
    </row>
    <row r="126" spans="1:6">
      <c r="A126" t="str">
        <f>"T742-5"</f>
        <v>T742-5</v>
      </c>
      <c r="B126" t="str">
        <f>"VIA CARNIA VICINO AL 57-"</f>
        <v>VIA CARNIA VICINO AL 57-</v>
      </c>
      <c r="C126" t="str">
        <f t="shared" si="14"/>
        <v>4</v>
      </c>
      <c r="D126">
        <v>26</v>
      </c>
      <c r="E126" t="str">
        <f>"2090"</f>
        <v>2090</v>
      </c>
      <c r="F126" t="str">
        <f t="shared" si="11"/>
        <v>0000</v>
      </c>
    </row>
    <row r="127" spans="1:6">
      <c r="A127" t="str">
        <f>"T742-6"</f>
        <v>T742-6</v>
      </c>
      <c r="B127" t="str">
        <f>"VIA CARNIA VICINO AL 57-"</f>
        <v>VIA CARNIA VICINO AL 57-</v>
      </c>
      <c r="C127" t="str">
        <f t="shared" si="14"/>
        <v>4</v>
      </c>
      <c r="D127">
        <v>26</v>
      </c>
      <c r="E127" t="str">
        <f>"2091"</f>
        <v>2091</v>
      </c>
      <c r="F127" t="str">
        <f t="shared" si="11"/>
        <v>0000</v>
      </c>
    </row>
    <row r="128" spans="1:6">
      <c r="A128" t="str">
        <f>"T743-1"</f>
        <v>T743-1</v>
      </c>
      <c r="B128" t="str">
        <f>"VIA RIVAROLO VICINO AL 53-"</f>
        <v>VIA RIVAROLO VICINO AL 53-</v>
      </c>
      <c r="C128" t="str">
        <f t="shared" si="14"/>
        <v>4</v>
      </c>
      <c r="D128">
        <v>26</v>
      </c>
      <c r="E128" t="str">
        <f>"99999"</f>
        <v>99999</v>
      </c>
      <c r="F128" t="str">
        <f t="shared" si="11"/>
        <v>0000</v>
      </c>
    </row>
    <row r="129" spans="1:6">
      <c r="A129" t="str">
        <f>"T744-1"</f>
        <v>T744-1</v>
      </c>
      <c r="B129" t="str">
        <f>"VIA CARNIA VICINO AL 59-"</f>
        <v>VIA CARNIA VICINO AL 59-</v>
      </c>
      <c r="C129" t="str">
        <f t="shared" si="14"/>
        <v>4</v>
      </c>
      <c r="D129">
        <v>26</v>
      </c>
      <c r="E129" t="str">
        <f>"424"</f>
        <v>424</v>
      </c>
      <c r="F129" t="str">
        <f t="shared" si="11"/>
        <v>0000</v>
      </c>
    </row>
    <row r="130" spans="1:6">
      <c r="A130" t="str">
        <f>"T744-2"</f>
        <v>T744-2</v>
      </c>
      <c r="B130" t="str">
        <f>"VIA CARNIA VICINO AL 59-"</f>
        <v>VIA CARNIA VICINO AL 59-</v>
      </c>
      <c r="C130" t="str">
        <f t="shared" si="14"/>
        <v>4</v>
      </c>
      <c r="D130">
        <v>26</v>
      </c>
      <c r="E130" t="str">
        <f>"843"</f>
        <v>843</v>
      </c>
      <c r="F130" t="str">
        <f t="shared" si="11"/>
        <v>0000</v>
      </c>
    </row>
    <row r="131" spans="1:6">
      <c r="A131" t="str">
        <f>"T744-3"</f>
        <v>T744-3</v>
      </c>
      <c r="B131" t="str">
        <f>"VIA CARNIA VICINO AL 59-"</f>
        <v>VIA CARNIA VICINO AL 59-</v>
      </c>
      <c r="C131" t="str">
        <f t="shared" si="14"/>
        <v>4</v>
      </c>
      <c r="D131">
        <v>26</v>
      </c>
      <c r="E131" t="str">
        <f>"844"</f>
        <v>844</v>
      </c>
      <c r="F131" t="str">
        <f t="shared" si="11"/>
        <v>0000</v>
      </c>
    </row>
    <row r="132" spans="1:6">
      <c r="A132" t="str">
        <f>"T744-4"</f>
        <v>T744-4</v>
      </c>
      <c r="B132" t="str">
        <f>"VIA CARNIA VICINO AL 59-"</f>
        <v>VIA CARNIA VICINO AL 59-</v>
      </c>
      <c r="C132" t="str">
        <f t="shared" si="14"/>
        <v>4</v>
      </c>
      <c r="D132">
        <v>26</v>
      </c>
      <c r="E132" t="str">
        <f>"845"</f>
        <v>845</v>
      </c>
      <c r="F132" t="str">
        <f t="shared" si="11"/>
        <v>0000</v>
      </c>
    </row>
    <row r="133" spans="1:6">
      <c r="A133" t="str">
        <f>"T745-1"</f>
        <v>T745-1</v>
      </c>
      <c r="B133" t="str">
        <f>"VIA RIVAROLO VICINO AL 55-"</f>
        <v>VIA RIVAROLO VICINO AL 55-</v>
      </c>
      <c r="C133" t="str">
        <f t="shared" si="14"/>
        <v>4</v>
      </c>
      <c r="D133">
        <v>26</v>
      </c>
      <c r="E133" t="str">
        <f>"99999"</f>
        <v>99999</v>
      </c>
      <c r="F133" t="str">
        <f t="shared" si="11"/>
        <v>0000</v>
      </c>
    </row>
    <row r="134" spans="1:6">
      <c r="A134" t="str">
        <f>"T746-1"</f>
        <v>T746-1</v>
      </c>
      <c r="B134" t="str">
        <f>"VIA ISOCORTE VICINO AL 1B-"</f>
        <v>VIA ISOCORTE VICINO AL 1B-</v>
      </c>
      <c r="C134" t="str">
        <f t="shared" si="14"/>
        <v>4</v>
      </c>
      <c r="D134">
        <v>4</v>
      </c>
      <c r="E134" t="str">
        <f>"99999"</f>
        <v>99999</v>
      </c>
      <c r="F134" t="str">
        <f t="shared" si="11"/>
        <v>0000</v>
      </c>
    </row>
    <row r="135" spans="1:6">
      <c r="A135" t="str">
        <f>"T746-2"</f>
        <v>T746-2</v>
      </c>
      <c r="B135" t="str">
        <f>"VIA ISOCORTE VICINO AL 1B-"</f>
        <v>VIA ISOCORTE VICINO AL 1B-</v>
      </c>
      <c r="C135" t="str">
        <f t="shared" si="14"/>
        <v>4</v>
      </c>
      <c r="D135">
        <v>4</v>
      </c>
      <c r="E135" t="str">
        <f>"255"</f>
        <v>255</v>
      </c>
      <c r="F135" t="str">
        <f t="shared" si="11"/>
        <v>0000</v>
      </c>
    </row>
    <row r="136" spans="1:6">
      <c r="A136" t="str">
        <f>"T747-1"</f>
        <v>T747-1</v>
      </c>
      <c r="B136" t="str">
        <f>"VIA ISOCORTE VICINO AL 1B-"</f>
        <v>VIA ISOCORTE VICINO AL 1B-</v>
      </c>
      <c r="C136" t="str">
        <f t="shared" si="14"/>
        <v>4</v>
      </c>
      <c r="D136">
        <v>4</v>
      </c>
      <c r="E136" t="str">
        <f>"255"</f>
        <v>255</v>
      </c>
      <c r="F136" t="str">
        <f t="shared" si="11"/>
        <v>0000</v>
      </c>
    </row>
    <row r="137" spans="1:6">
      <c r="A137" t="str">
        <f>"T747-2"</f>
        <v>T747-2</v>
      </c>
      <c r="B137" t="str">
        <f>"VIA ISOCORTE VICINO AL 1B-"</f>
        <v>VIA ISOCORTE VICINO AL 1B-</v>
      </c>
      <c r="C137" t="str">
        <f t="shared" si="14"/>
        <v>4</v>
      </c>
      <c r="D137">
        <v>4</v>
      </c>
      <c r="E137" t="str">
        <f>"748"</f>
        <v>748</v>
      </c>
      <c r="F137" t="str">
        <f t="shared" si="11"/>
        <v>0000</v>
      </c>
    </row>
    <row r="138" spans="1:6">
      <c r="A138" t="str">
        <f>"T748-1"</f>
        <v>T748-1</v>
      </c>
      <c r="B138" t="str">
        <f t="shared" ref="B138:B144" si="15">"PASSO DEI BARABINI VICINO AL 16-"</f>
        <v>PASSO DEI BARABINI VICINO AL 16-</v>
      </c>
      <c r="C138" t="str">
        <f t="shared" si="14"/>
        <v>4</v>
      </c>
      <c r="D138">
        <v>16</v>
      </c>
      <c r="E138" t="str">
        <f>"286"</f>
        <v>286</v>
      </c>
      <c r="F138" t="str">
        <f t="shared" si="11"/>
        <v>0000</v>
      </c>
    </row>
    <row r="139" spans="1:6">
      <c r="A139" t="str">
        <f>"T748-2"</f>
        <v>T748-2</v>
      </c>
      <c r="B139" t="str">
        <f t="shared" si="15"/>
        <v>PASSO DEI BARABINI VICINO AL 16-</v>
      </c>
      <c r="C139" t="str">
        <f t="shared" si="14"/>
        <v>4</v>
      </c>
      <c r="D139">
        <v>16</v>
      </c>
      <c r="E139" t="str">
        <f>"287"</f>
        <v>287</v>
      </c>
      <c r="F139" t="str">
        <f t="shared" si="11"/>
        <v>0000</v>
      </c>
    </row>
    <row r="140" spans="1:6">
      <c r="A140" t="str">
        <f>"T748-3"</f>
        <v>T748-3</v>
      </c>
      <c r="B140" t="str">
        <f t="shared" si="15"/>
        <v>PASSO DEI BARABINI VICINO AL 16-</v>
      </c>
      <c r="C140" t="str">
        <f t="shared" si="14"/>
        <v>4</v>
      </c>
      <c r="D140">
        <v>16</v>
      </c>
      <c r="E140" t="str">
        <f>"607"</f>
        <v>607</v>
      </c>
      <c r="F140" t="str">
        <f t="shared" si="11"/>
        <v>0000</v>
      </c>
    </row>
    <row r="141" spans="1:6">
      <c r="A141" t="str">
        <f>"T748-4"</f>
        <v>T748-4</v>
      </c>
      <c r="B141" t="str">
        <f t="shared" si="15"/>
        <v>PASSO DEI BARABINI VICINO AL 16-</v>
      </c>
      <c r="C141" t="str">
        <f t="shared" si="14"/>
        <v>4</v>
      </c>
      <c r="D141">
        <v>16</v>
      </c>
      <c r="E141" t="str">
        <f>"608"</f>
        <v>608</v>
      </c>
      <c r="F141" t="str">
        <f t="shared" si="11"/>
        <v>0000</v>
      </c>
    </row>
    <row r="142" spans="1:6">
      <c r="A142" t="str">
        <f>"T749-1"</f>
        <v>T749-1</v>
      </c>
      <c r="B142" t="str">
        <f t="shared" si="15"/>
        <v>PASSO DEI BARABINI VICINO AL 16-</v>
      </c>
      <c r="C142" t="str">
        <f t="shared" si="14"/>
        <v>4</v>
      </c>
      <c r="D142">
        <v>16</v>
      </c>
      <c r="E142" t="str">
        <f>"289"</f>
        <v>289</v>
      </c>
      <c r="F142" t="str">
        <f t="shared" si="11"/>
        <v>0000</v>
      </c>
    </row>
    <row r="143" spans="1:6">
      <c r="A143" t="str">
        <f>"T749-2"</f>
        <v>T749-2</v>
      </c>
      <c r="B143" t="str">
        <f t="shared" si="15"/>
        <v>PASSO DEI BARABINI VICINO AL 16-</v>
      </c>
      <c r="C143" t="str">
        <f t="shared" si="14"/>
        <v>4</v>
      </c>
      <c r="D143">
        <v>16</v>
      </c>
      <c r="E143" t="str">
        <f>"290"</f>
        <v>290</v>
      </c>
      <c r="F143" t="str">
        <f t="shared" ref="F143:F206" si="16">"0000"</f>
        <v>0000</v>
      </c>
    </row>
    <row r="144" spans="1:6">
      <c r="A144" t="str">
        <f>"T749-3"</f>
        <v>T749-3</v>
      </c>
      <c r="B144" t="str">
        <f t="shared" si="15"/>
        <v>PASSO DEI BARABINI VICINO AL 16-</v>
      </c>
      <c r="C144" t="str">
        <f t="shared" si="14"/>
        <v>4</v>
      </c>
      <c r="D144">
        <v>16</v>
      </c>
      <c r="E144" t="str">
        <f>"292"</f>
        <v>292</v>
      </c>
      <c r="F144" t="str">
        <f t="shared" si="16"/>
        <v>0000</v>
      </c>
    </row>
    <row r="145" spans="1:6">
      <c r="A145" t="str">
        <f>"T750-2"</f>
        <v>T750-2</v>
      </c>
      <c r="B145" t="str">
        <f>"VIA DA SERRO A MOREGO VICINO AL 25-"</f>
        <v>VIA DA SERRO A MOREGO VICINO AL 25-</v>
      </c>
      <c r="C145" t="str">
        <f t="shared" si="14"/>
        <v>4</v>
      </c>
      <c r="D145">
        <v>9</v>
      </c>
      <c r="E145" t="str">
        <f>"151"</f>
        <v>151</v>
      </c>
      <c r="F145" t="str">
        <f t="shared" si="16"/>
        <v>0000</v>
      </c>
    </row>
    <row r="146" spans="1:6">
      <c r="A146" t="str">
        <f>"T750-3"</f>
        <v>T750-3</v>
      </c>
      <c r="B146" t="str">
        <f>"VIA DA SERRO A MOREGO VICINO AL 25-"</f>
        <v>VIA DA SERRO A MOREGO VICINO AL 25-</v>
      </c>
      <c r="C146" t="str">
        <f t="shared" si="14"/>
        <v>4</v>
      </c>
      <c r="D146">
        <v>9</v>
      </c>
      <c r="E146" t="str">
        <f>"152"</f>
        <v>152</v>
      </c>
      <c r="F146" t="str">
        <f t="shared" si="16"/>
        <v>0000</v>
      </c>
    </row>
    <row r="147" spans="1:6">
      <c r="A147" t="str">
        <f>"T750-5"</f>
        <v>T750-5</v>
      </c>
      <c r="B147" t="str">
        <f>"VIA DA SERRO A MOREGO VICINO AL 25-"</f>
        <v>VIA DA SERRO A MOREGO VICINO AL 25-</v>
      </c>
      <c r="C147" t="str">
        <f t="shared" si="14"/>
        <v>4</v>
      </c>
      <c r="D147">
        <v>9</v>
      </c>
      <c r="E147" t="str">
        <f>"156"</f>
        <v>156</v>
      </c>
      <c r="F147" t="str">
        <f t="shared" si="16"/>
        <v>0000</v>
      </c>
    </row>
    <row r="148" spans="1:6">
      <c r="A148" t="str">
        <f>"T750-6"</f>
        <v>T750-6</v>
      </c>
      <c r="B148" t="str">
        <f>"VIA DA SERRO A MOREGO VICINO AL 25-"</f>
        <v>VIA DA SERRO A MOREGO VICINO AL 25-</v>
      </c>
      <c r="C148" t="str">
        <f t="shared" si="14"/>
        <v>4</v>
      </c>
      <c r="D148">
        <v>9</v>
      </c>
      <c r="E148" t="str">
        <f>"1608"</f>
        <v>1608</v>
      </c>
      <c r="F148" t="str">
        <f t="shared" si="16"/>
        <v>0000</v>
      </c>
    </row>
    <row r="149" spans="1:6">
      <c r="A149" t="str">
        <f>"T751-1"</f>
        <v>T751-1</v>
      </c>
      <c r="B149" t="str">
        <f>"VIA SAN QUIRICO VICINO AL 67R-"</f>
        <v>VIA SAN QUIRICO VICINO AL 67R-</v>
      </c>
      <c r="C149" t="str">
        <f t="shared" si="14"/>
        <v>4</v>
      </c>
      <c r="D149">
        <v>9</v>
      </c>
      <c r="E149" t="str">
        <f>"99999"</f>
        <v>99999</v>
      </c>
      <c r="F149" t="str">
        <f t="shared" si="16"/>
        <v>0000</v>
      </c>
    </row>
    <row r="150" spans="1:6">
      <c r="A150" t="str">
        <f>"T753-1"</f>
        <v>T753-1</v>
      </c>
      <c r="B150" t="str">
        <f>"VIA PASQUALE PASTORINO  15-"</f>
        <v>VIA PASQUALE PASTORINO  15-</v>
      </c>
      <c r="C150" t="str">
        <f t="shared" si="14"/>
        <v>4</v>
      </c>
      <c r="D150">
        <v>17</v>
      </c>
      <c r="E150" t="str">
        <f>"102"</f>
        <v>102</v>
      </c>
      <c r="F150" t="str">
        <f t="shared" si="16"/>
        <v>0000</v>
      </c>
    </row>
    <row r="151" spans="1:6">
      <c r="A151" t="str">
        <f>"T753-2"</f>
        <v>T753-2</v>
      </c>
      <c r="B151" t="str">
        <f>"VIA PASQUALE PASTORINO  15-"</f>
        <v>VIA PASQUALE PASTORINO  15-</v>
      </c>
      <c r="C151" t="str">
        <f t="shared" si="14"/>
        <v>4</v>
      </c>
      <c r="D151">
        <v>17</v>
      </c>
      <c r="E151" t="str">
        <f>"103"</f>
        <v>103</v>
      </c>
      <c r="F151" t="str">
        <f t="shared" si="16"/>
        <v>0000</v>
      </c>
    </row>
    <row r="152" spans="1:6">
      <c r="A152" t="str">
        <f>"T753-3"</f>
        <v>T753-3</v>
      </c>
      <c r="B152" t="str">
        <f>"VIA PASQUALE PASTORINO  15-"</f>
        <v>VIA PASQUALE PASTORINO  15-</v>
      </c>
      <c r="C152" t="str">
        <f t="shared" si="14"/>
        <v>4</v>
      </c>
      <c r="D152">
        <v>17</v>
      </c>
      <c r="E152" t="str">
        <f>"114"</f>
        <v>114</v>
      </c>
      <c r="F152" t="str">
        <f t="shared" si="16"/>
        <v>0000</v>
      </c>
    </row>
    <row r="153" spans="1:6">
      <c r="A153" t="str">
        <f>"T753-4"</f>
        <v>T753-4</v>
      </c>
      <c r="B153" t="str">
        <f>"VIA PASQUALE PASTORINO  15-"</f>
        <v>VIA PASQUALE PASTORINO  15-</v>
      </c>
      <c r="C153" t="str">
        <f t="shared" si="14"/>
        <v>4</v>
      </c>
      <c r="D153">
        <v>17</v>
      </c>
      <c r="E153" t="str">
        <f>"105"</f>
        <v>105</v>
      </c>
      <c r="F153" t="str">
        <f t="shared" si="16"/>
        <v>0000</v>
      </c>
    </row>
    <row r="154" spans="1:6">
      <c r="A154" t="str">
        <f>"T754-1"</f>
        <v>T754-1</v>
      </c>
      <c r="B154" t="str">
        <f>"VIA BORZOLI VICINO AL 123-"</f>
        <v>VIA BORZOLI VICINO AL 123-</v>
      </c>
      <c r="C154" t="str">
        <f>"3"</f>
        <v>3</v>
      </c>
      <c r="D154">
        <v>67</v>
      </c>
      <c r="E154" t="str">
        <f>"640"</f>
        <v>640</v>
      </c>
      <c r="F154" t="str">
        <f t="shared" si="16"/>
        <v>0000</v>
      </c>
    </row>
    <row r="155" spans="1:6">
      <c r="A155" t="str">
        <f>"T754-2"</f>
        <v>T754-2</v>
      </c>
      <c r="B155" t="str">
        <f>"VIA BORZOLI VICINO AL 123-"</f>
        <v>VIA BORZOLI VICINO AL 123-</v>
      </c>
      <c r="C155" t="str">
        <f>"3"</f>
        <v>3</v>
      </c>
      <c r="D155">
        <v>67</v>
      </c>
      <c r="E155" t="str">
        <f>"644"</f>
        <v>644</v>
      </c>
      <c r="F155" t="str">
        <f t="shared" si="16"/>
        <v>0000</v>
      </c>
    </row>
    <row r="156" spans="1:6">
      <c r="A156" t="str">
        <f>"T754-3"</f>
        <v>T754-3</v>
      </c>
      <c r="B156" t="str">
        <f>"VIA BORZOLI VICINO AL 123-"</f>
        <v>VIA BORZOLI VICINO AL 123-</v>
      </c>
      <c r="C156" t="str">
        <f>"3"</f>
        <v>3</v>
      </c>
      <c r="D156">
        <v>67</v>
      </c>
      <c r="E156" t="str">
        <f>"645"</f>
        <v>645</v>
      </c>
      <c r="F156" t="str">
        <f t="shared" si="16"/>
        <v>0000</v>
      </c>
    </row>
    <row r="157" spans="1:6">
      <c r="A157" t="str">
        <f>"T754-4"</f>
        <v>T754-4</v>
      </c>
      <c r="B157" t="str">
        <f>"VIA BORZOLI VICINO AL 123-"</f>
        <v>VIA BORZOLI VICINO AL 123-</v>
      </c>
      <c r="C157" t="str">
        <f>"3"</f>
        <v>3</v>
      </c>
      <c r="D157">
        <v>67</v>
      </c>
      <c r="E157" t="str">
        <f>"99999"</f>
        <v>99999</v>
      </c>
      <c r="F157" t="str">
        <f t="shared" si="16"/>
        <v>0000</v>
      </c>
    </row>
    <row r="158" spans="1:6">
      <c r="A158" t="str">
        <f>"T755-1"</f>
        <v>T755-1</v>
      </c>
      <c r="B158" t="str">
        <f>"VIA GIROLAMO GASTALDI VICINO AL 27-"</f>
        <v>VIA GIROLAMO GASTALDI VICINO AL 27-</v>
      </c>
      <c r="C158" t="str">
        <f t="shared" ref="C158:C189" si="17">"4"</f>
        <v>4</v>
      </c>
      <c r="D158">
        <v>6</v>
      </c>
      <c r="E158" t="str">
        <f>"593"</f>
        <v>593</v>
      </c>
      <c r="F158" t="str">
        <f t="shared" si="16"/>
        <v>0000</v>
      </c>
    </row>
    <row r="159" spans="1:6">
      <c r="A159" t="str">
        <f>"T756-1"</f>
        <v>T756-1</v>
      </c>
      <c r="B159" t="str">
        <f>"VIA BARACCHINO VICINO AL 3-"</f>
        <v>VIA BARACCHINO VICINO AL 3-</v>
      </c>
      <c r="C159" t="str">
        <f t="shared" si="17"/>
        <v>4</v>
      </c>
      <c r="D159">
        <v>4</v>
      </c>
      <c r="E159" t="str">
        <f>"328"</f>
        <v>328</v>
      </c>
      <c r="F159" t="str">
        <f t="shared" si="16"/>
        <v>0000</v>
      </c>
    </row>
    <row r="160" spans="1:6">
      <c r="A160" t="str">
        <f>"T758-1"</f>
        <v>T758-1</v>
      </c>
      <c r="B160" t="str">
        <f>"PASSO MORIGALLO VICINO AL 4-"</f>
        <v>PASSO MORIGALLO VICINO AL 4-</v>
      </c>
      <c r="C160" t="str">
        <f t="shared" si="17"/>
        <v>4</v>
      </c>
      <c r="D160">
        <v>9</v>
      </c>
      <c r="E160" t="str">
        <f>"99999"</f>
        <v>99999</v>
      </c>
      <c r="F160" t="str">
        <f t="shared" si="16"/>
        <v>0000</v>
      </c>
    </row>
    <row r="161" spans="1:6">
      <c r="A161" t="str">
        <f>"T759-1"</f>
        <v>T759-1</v>
      </c>
      <c r="B161" t="str">
        <f t="shared" ref="B161:B176" si="18">"VIA SCUOLE DI S BIAGIO VICINO AL 1-"</f>
        <v>VIA SCUOLE DI S BIAGIO VICINO AL 1-</v>
      </c>
      <c r="C161" t="str">
        <f t="shared" si="17"/>
        <v>4</v>
      </c>
      <c r="D161">
        <v>10</v>
      </c>
      <c r="E161" t="str">
        <f>"382"</f>
        <v>382</v>
      </c>
      <c r="F161" t="str">
        <f t="shared" si="16"/>
        <v>0000</v>
      </c>
    </row>
    <row r="162" spans="1:6">
      <c r="A162" t="str">
        <f>"T759-2"</f>
        <v>T759-2</v>
      </c>
      <c r="B162" t="str">
        <f t="shared" si="18"/>
        <v>VIA SCUOLE DI S BIAGIO VICINO AL 1-</v>
      </c>
      <c r="C162" t="str">
        <f t="shared" si="17"/>
        <v>4</v>
      </c>
      <c r="D162">
        <v>6</v>
      </c>
      <c r="E162" t="str">
        <f>"336"</f>
        <v>336</v>
      </c>
      <c r="F162" t="str">
        <f t="shared" si="16"/>
        <v>0000</v>
      </c>
    </row>
    <row r="163" spans="1:6">
      <c r="A163" t="str">
        <f>"T759-3"</f>
        <v>T759-3</v>
      </c>
      <c r="B163" t="str">
        <f t="shared" si="18"/>
        <v>VIA SCUOLE DI S BIAGIO VICINO AL 1-</v>
      </c>
      <c r="C163" t="str">
        <f t="shared" si="17"/>
        <v>4</v>
      </c>
      <c r="D163">
        <v>6</v>
      </c>
      <c r="E163" t="str">
        <f>"328"</f>
        <v>328</v>
      </c>
      <c r="F163" t="str">
        <f t="shared" si="16"/>
        <v>0000</v>
      </c>
    </row>
    <row r="164" spans="1:6">
      <c r="A164" t="str">
        <f>"T759-4"</f>
        <v>T759-4</v>
      </c>
      <c r="B164" t="str">
        <f t="shared" si="18"/>
        <v>VIA SCUOLE DI S BIAGIO VICINO AL 1-</v>
      </c>
      <c r="C164" t="str">
        <f t="shared" si="17"/>
        <v>4</v>
      </c>
      <c r="D164">
        <v>6</v>
      </c>
      <c r="E164" t="str">
        <f>"297"</f>
        <v>297</v>
      </c>
      <c r="F164" t="str">
        <f t="shared" si="16"/>
        <v>0000</v>
      </c>
    </row>
    <row r="165" spans="1:6">
      <c r="A165" t="str">
        <f>"T759-5"</f>
        <v>T759-5</v>
      </c>
      <c r="B165" t="str">
        <f t="shared" si="18"/>
        <v>VIA SCUOLE DI S BIAGIO VICINO AL 1-</v>
      </c>
      <c r="C165" t="str">
        <f t="shared" si="17"/>
        <v>4</v>
      </c>
      <c r="D165">
        <v>6</v>
      </c>
      <c r="E165" t="str">
        <f>"293"</f>
        <v>293</v>
      </c>
      <c r="F165" t="str">
        <f t="shared" si="16"/>
        <v>0000</v>
      </c>
    </row>
    <row r="166" spans="1:6">
      <c r="A166" t="str">
        <f>"T759-6"</f>
        <v>T759-6</v>
      </c>
      <c r="B166" t="str">
        <f t="shared" si="18"/>
        <v>VIA SCUOLE DI S BIAGIO VICINO AL 1-</v>
      </c>
      <c r="C166" t="str">
        <f t="shared" si="17"/>
        <v>4</v>
      </c>
      <c r="D166">
        <v>6</v>
      </c>
      <c r="E166" t="str">
        <f>"209"</f>
        <v>209</v>
      </c>
      <c r="F166" t="str">
        <f t="shared" si="16"/>
        <v>0000</v>
      </c>
    </row>
    <row r="167" spans="1:6">
      <c r="A167" t="str">
        <f>"T759-7"</f>
        <v>T759-7</v>
      </c>
      <c r="B167" t="str">
        <f t="shared" si="18"/>
        <v>VIA SCUOLE DI S BIAGIO VICINO AL 1-</v>
      </c>
      <c r="C167" t="str">
        <f t="shared" si="17"/>
        <v>4</v>
      </c>
      <c r="D167">
        <v>6</v>
      </c>
      <c r="E167" t="str">
        <f>"173"</f>
        <v>173</v>
      </c>
      <c r="F167" t="str">
        <f t="shared" si="16"/>
        <v>0000</v>
      </c>
    </row>
    <row r="168" spans="1:6">
      <c r="A168" t="str">
        <f>"T759-8"</f>
        <v>T759-8</v>
      </c>
      <c r="B168" t="str">
        <f t="shared" si="18"/>
        <v>VIA SCUOLE DI S BIAGIO VICINO AL 1-</v>
      </c>
      <c r="C168" t="str">
        <f t="shared" si="17"/>
        <v>4</v>
      </c>
      <c r="D168">
        <v>6</v>
      </c>
      <c r="E168" t="str">
        <f>"163"</f>
        <v>163</v>
      </c>
      <c r="F168" t="str">
        <f t="shared" si="16"/>
        <v>0000</v>
      </c>
    </row>
    <row r="169" spans="1:6">
      <c r="A169" t="str">
        <f>"T759-9"</f>
        <v>T759-9</v>
      </c>
      <c r="B169" t="str">
        <f t="shared" si="18"/>
        <v>VIA SCUOLE DI S BIAGIO VICINO AL 1-</v>
      </c>
      <c r="C169" t="str">
        <f t="shared" si="17"/>
        <v>4</v>
      </c>
      <c r="D169">
        <v>6</v>
      </c>
      <c r="E169" t="str">
        <f>"108"</f>
        <v>108</v>
      </c>
      <c r="F169" t="str">
        <f t="shared" si="16"/>
        <v>0000</v>
      </c>
    </row>
    <row r="170" spans="1:6">
      <c r="A170" t="str">
        <f>"T759-10"</f>
        <v>T759-10</v>
      </c>
      <c r="B170" t="str">
        <f t="shared" si="18"/>
        <v>VIA SCUOLE DI S BIAGIO VICINO AL 1-</v>
      </c>
      <c r="C170" t="str">
        <f t="shared" si="17"/>
        <v>4</v>
      </c>
      <c r="D170">
        <v>6</v>
      </c>
      <c r="E170" t="str">
        <f>"114"</f>
        <v>114</v>
      </c>
      <c r="F170" t="str">
        <f t="shared" si="16"/>
        <v>0000</v>
      </c>
    </row>
    <row r="171" spans="1:6">
      <c r="A171" t="str">
        <f>"T759-11"</f>
        <v>T759-11</v>
      </c>
      <c r="B171" t="str">
        <f t="shared" si="18"/>
        <v>VIA SCUOLE DI S BIAGIO VICINO AL 1-</v>
      </c>
      <c r="C171" t="str">
        <f t="shared" si="17"/>
        <v>4</v>
      </c>
      <c r="D171">
        <v>5</v>
      </c>
      <c r="E171" t="str">
        <f>"477"</f>
        <v>477</v>
      </c>
      <c r="F171" t="str">
        <f t="shared" si="16"/>
        <v>0000</v>
      </c>
    </row>
    <row r="172" spans="1:6">
      <c r="A172" t="str">
        <f>"T759-12"</f>
        <v>T759-12</v>
      </c>
      <c r="B172" t="str">
        <f t="shared" si="18"/>
        <v>VIA SCUOLE DI S BIAGIO VICINO AL 1-</v>
      </c>
      <c r="C172" t="str">
        <f t="shared" si="17"/>
        <v>4</v>
      </c>
      <c r="D172">
        <v>5</v>
      </c>
      <c r="E172" t="str">
        <f>"562"</f>
        <v>562</v>
      </c>
      <c r="F172" t="str">
        <f t="shared" si="16"/>
        <v>0000</v>
      </c>
    </row>
    <row r="173" spans="1:6">
      <c r="A173" t="str">
        <f>"T759-13"</f>
        <v>T759-13</v>
      </c>
      <c r="B173" t="str">
        <f t="shared" si="18"/>
        <v>VIA SCUOLE DI S BIAGIO VICINO AL 1-</v>
      </c>
      <c r="C173" t="str">
        <f t="shared" si="17"/>
        <v>4</v>
      </c>
      <c r="D173">
        <v>5</v>
      </c>
      <c r="E173" t="str">
        <f>"432"</f>
        <v>432</v>
      </c>
      <c r="F173" t="str">
        <f t="shared" si="16"/>
        <v>0000</v>
      </c>
    </row>
    <row r="174" spans="1:6">
      <c r="A174" t="str">
        <f>"T759-14"</f>
        <v>T759-14</v>
      </c>
      <c r="B174" t="str">
        <f t="shared" si="18"/>
        <v>VIA SCUOLE DI S BIAGIO VICINO AL 1-</v>
      </c>
      <c r="C174" t="str">
        <f t="shared" si="17"/>
        <v>4</v>
      </c>
      <c r="D174">
        <v>5</v>
      </c>
      <c r="E174" t="str">
        <f>"502"</f>
        <v>502</v>
      </c>
      <c r="F174" t="str">
        <f t="shared" si="16"/>
        <v>0000</v>
      </c>
    </row>
    <row r="175" spans="1:6">
      <c r="A175" t="str">
        <f>"T759-15"</f>
        <v>T759-15</v>
      </c>
      <c r="B175" t="str">
        <f t="shared" si="18"/>
        <v>VIA SCUOLE DI S BIAGIO VICINO AL 1-</v>
      </c>
      <c r="C175" t="str">
        <f t="shared" si="17"/>
        <v>4</v>
      </c>
      <c r="D175">
        <v>5</v>
      </c>
      <c r="E175" t="str">
        <f>"140"</f>
        <v>140</v>
      </c>
      <c r="F175" t="str">
        <f t="shared" si="16"/>
        <v>0000</v>
      </c>
    </row>
    <row r="176" spans="1:6">
      <c r="A176" t="str">
        <f>"T759-16"</f>
        <v>T759-16</v>
      </c>
      <c r="B176" t="str">
        <f t="shared" si="18"/>
        <v>VIA SCUOLE DI S BIAGIO VICINO AL 1-</v>
      </c>
      <c r="C176" t="str">
        <f t="shared" si="17"/>
        <v>4</v>
      </c>
      <c r="D176">
        <v>5</v>
      </c>
      <c r="E176" t="str">
        <f>"63"</f>
        <v>63</v>
      </c>
      <c r="F176" t="str">
        <f t="shared" si="16"/>
        <v>0000</v>
      </c>
    </row>
    <row r="177" spans="1:6">
      <c r="A177" t="str">
        <f>"T760-1"</f>
        <v>T760-1</v>
      </c>
      <c r="B177" t="str">
        <f>"VIA NATALE GALLINO VICINO AL 20-"</f>
        <v>VIA NATALE GALLINO VICINO AL 20-</v>
      </c>
      <c r="C177" t="str">
        <f t="shared" si="17"/>
        <v>4</v>
      </c>
      <c r="D177">
        <v>3</v>
      </c>
      <c r="E177" t="str">
        <f>"124"</f>
        <v>124</v>
      </c>
      <c r="F177" t="str">
        <f t="shared" si="16"/>
        <v>0000</v>
      </c>
    </row>
    <row r="178" spans="1:6">
      <c r="A178" t="str">
        <f>"T760-2"</f>
        <v>T760-2</v>
      </c>
      <c r="B178" t="str">
        <f>"VIA NATALE GALLINO VICINO AL 20-"</f>
        <v>VIA NATALE GALLINO VICINO AL 20-</v>
      </c>
      <c r="C178" t="str">
        <f t="shared" si="17"/>
        <v>4</v>
      </c>
      <c r="D178">
        <v>4</v>
      </c>
      <c r="E178" t="str">
        <f>"13"</f>
        <v>13</v>
      </c>
      <c r="F178" t="str">
        <f t="shared" si="16"/>
        <v>0000</v>
      </c>
    </row>
    <row r="179" spans="1:6">
      <c r="A179" t="str">
        <f>"T761-1"</f>
        <v>T761-1</v>
      </c>
      <c r="B179" t="str">
        <f>"VIA BEGATO VICINO AL 27-"</f>
        <v>VIA BEGATO VICINO AL 27-</v>
      </c>
      <c r="C179" t="str">
        <f t="shared" si="17"/>
        <v>4</v>
      </c>
      <c r="D179">
        <v>31</v>
      </c>
      <c r="E179" t="str">
        <f>"A"</f>
        <v>A</v>
      </c>
      <c r="F179" t="str">
        <f t="shared" si="16"/>
        <v>0000</v>
      </c>
    </row>
    <row r="180" spans="1:6">
      <c r="A180" t="str">
        <f>"T763-1"</f>
        <v>T763-1</v>
      </c>
      <c r="B180" t="str">
        <f t="shared" ref="B180:B188" si="19">"SALITA INFERIORE DI MURTA VICINO AL 5-"</f>
        <v>SALITA INFERIORE DI MURTA VICINO AL 5-</v>
      </c>
      <c r="C180" t="str">
        <f t="shared" si="17"/>
        <v>4</v>
      </c>
      <c r="D180">
        <v>16</v>
      </c>
      <c r="E180" t="str">
        <f>"302"</f>
        <v>302</v>
      </c>
      <c r="F180" t="str">
        <f t="shared" si="16"/>
        <v>0000</v>
      </c>
    </row>
    <row r="181" spans="1:6">
      <c r="A181" t="str">
        <f>"T763-2"</f>
        <v>T763-2</v>
      </c>
      <c r="B181" t="str">
        <f t="shared" si="19"/>
        <v>SALITA INFERIORE DI MURTA VICINO AL 5-</v>
      </c>
      <c r="C181" t="str">
        <f t="shared" si="17"/>
        <v>4</v>
      </c>
      <c r="D181">
        <v>16</v>
      </c>
      <c r="E181" t="str">
        <f>"303"</f>
        <v>303</v>
      </c>
      <c r="F181" t="str">
        <f t="shared" si="16"/>
        <v>0000</v>
      </c>
    </row>
    <row r="182" spans="1:6">
      <c r="A182" t="str">
        <f>"T763-3"</f>
        <v>T763-3</v>
      </c>
      <c r="B182" t="str">
        <f t="shared" si="19"/>
        <v>SALITA INFERIORE DI MURTA VICINO AL 5-</v>
      </c>
      <c r="C182" t="str">
        <f t="shared" si="17"/>
        <v>4</v>
      </c>
      <c r="D182">
        <v>16</v>
      </c>
      <c r="E182" t="str">
        <f>"304"</f>
        <v>304</v>
      </c>
      <c r="F182" t="str">
        <f t="shared" si="16"/>
        <v>0000</v>
      </c>
    </row>
    <row r="183" spans="1:6">
      <c r="A183" t="str">
        <f>"T763-4"</f>
        <v>T763-4</v>
      </c>
      <c r="B183" t="str">
        <f t="shared" si="19"/>
        <v>SALITA INFERIORE DI MURTA VICINO AL 5-</v>
      </c>
      <c r="C183" t="str">
        <f t="shared" si="17"/>
        <v>4</v>
      </c>
      <c r="D183">
        <v>16</v>
      </c>
      <c r="E183" t="str">
        <f>"305"</f>
        <v>305</v>
      </c>
      <c r="F183" t="str">
        <f t="shared" si="16"/>
        <v>0000</v>
      </c>
    </row>
    <row r="184" spans="1:6">
      <c r="A184" t="str">
        <f>"T763-5"</f>
        <v>T763-5</v>
      </c>
      <c r="B184" t="str">
        <f t="shared" si="19"/>
        <v>SALITA INFERIORE DI MURTA VICINO AL 5-</v>
      </c>
      <c r="C184" t="str">
        <f t="shared" si="17"/>
        <v>4</v>
      </c>
      <c r="D184">
        <v>16</v>
      </c>
      <c r="E184" t="str">
        <f>"190"</f>
        <v>190</v>
      </c>
      <c r="F184" t="str">
        <f t="shared" si="16"/>
        <v>0000</v>
      </c>
    </row>
    <row r="185" spans="1:6">
      <c r="A185" t="str">
        <f>"T763-6"</f>
        <v>T763-6</v>
      </c>
      <c r="B185" t="str">
        <f t="shared" si="19"/>
        <v>SALITA INFERIORE DI MURTA VICINO AL 5-</v>
      </c>
      <c r="C185" t="str">
        <f t="shared" si="17"/>
        <v>4</v>
      </c>
      <c r="D185">
        <v>16</v>
      </c>
      <c r="E185" t="str">
        <f>"191"</f>
        <v>191</v>
      </c>
      <c r="F185" t="str">
        <f t="shared" si="16"/>
        <v>0000</v>
      </c>
    </row>
    <row r="186" spans="1:6">
      <c r="A186" t="str">
        <f>"T763-7"</f>
        <v>T763-7</v>
      </c>
      <c r="B186" t="str">
        <f t="shared" si="19"/>
        <v>SALITA INFERIORE DI MURTA VICINO AL 5-</v>
      </c>
      <c r="C186" t="str">
        <f t="shared" si="17"/>
        <v>4</v>
      </c>
      <c r="D186">
        <v>16</v>
      </c>
      <c r="E186" t="str">
        <f>"99999"</f>
        <v>99999</v>
      </c>
      <c r="F186" t="str">
        <f t="shared" si="16"/>
        <v>0000</v>
      </c>
    </row>
    <row r="187" spans="1:6">
      <c r="A187" t="str">
        <f>"T763-8"</f>
        <v>T763-8</v>
      </c>
      <c r="B187" t="str">
        <f t="shared" si="19"/>
        <v>SALITA INFERIORE DI MURTA VICINO AL 5-</v>
      </c>
      <c r="C187" t="str">
        <f t="shared" si="17"/>
        <v>4</v>
      </c>
      <c r="D187">
        <v>16</v>
      </c>
      <c r="E187" t="str">
        <f>"682"</f>
        <v>682</v>
      </c>
      <c r="F187" t="str">
        <f t="shared" si="16"/>
        <v>0000</v>
      </c>
    </row>
    <row r="188" spans="1:6">
      <c r="A188" t="str">
        <f>"T763-9"</f>
        <v>T763-9</v>
      </c>
      <c r="B188" t="str">
        <f t="shared" si="19"/>
        <v>SALITA INFERIORE DI MURTA VICINO AL 5-</v>
      </c>
      <c r="C188" t="str">
        <f t="shared" si="17"/>
        <v>4</v>
      </c>
      <c r="D188">
        <v>16</v>
      </c>
      <c r="E188" t="str">
        <f>"683"</f>
        <v>683</v>
      </c>
      <c r="F188" t="str">
        <f t="shared" si="16"/>
        <v>0000</v>
      </c>
    </row>
    <row r="189" spans="1:6">
      <c r="A189" t="str">
        <f>"T764-1"</f>
        <v>T764-1</v>
      </c>
      <c r="B189" t="str">
        <f>"VIA SARDORELLA VICINO AL 6-"</f>
        <v>VIA SARDORELLA VICINO AL 6-</v>
      </c>
      <c r="C189" t="str">
        <f t="shared" si="17"/>
        <v>4</v>
      </c>
      <c r="D189">
        <v>20</v>
      </c>
      <c r="E189" t="str">
        <f>"32"</f>
        <v>32</v>
      </c>
      <c r="F189" t="str">
        <f t="shared" si="16"/>
        <v>0000</v>
      </c>
    </row>
    <row r="190" spans="1:6">
      <c r="A190" t="str">
        <f>"T766-1"</f>
        <v>T766-1</v>
      </c>
      <c r="B190" t="str">
        <f>"VIA PORCILE VICINO AL 1C-"</f>
        <v>VIA PORCILE VICINO AL 1C-</v>
      </c>
      <c r="C190" t="str">
        <f t="shared" ref="C190:C224" si="20">"4"</f>
        <v>4</v>
      </c>
      <c r="D190">
        <v>8</v>
      </c>
      <c r="E190" t="str">
        <f>"A"</f>
        <v>A</v>
      </c>
      <c r="F190" t="str">
        <f t="shared" si="16"/>
        <v>0000</v>
      </c>
    </row>
    <row r="191" spans="1:6">
      <c r="A191" t="str">
        <f>"T766-2"</f>
        <v>T766-2</v>
      </c>
      <c r="B191" t="str">
        <f>"VIA PORCILE VICINO AL 1C-"</f>
        <v>VIA PORCILE VICINO AL 1C-</v>
      </c>
      <c r="C191" t="str">
        <f t="shared" si="20"/>
        <v>4</v>
      </c>
      <c r="D191">
        <v>8</v>
      </c>
      <c r="E191" t="str">
        <f>"269"</f>
        <v>269</v>
      </c>
      <c r="F191" t="str">
        <f t="shared" si="16"/>
        <v>0000</v>
      </c>
    </row>
    <row r="192" spans="1:6">
      <c r="A192" t="str">
        <f>"T767-1"</f>
        <v>T767-1</v>
      </c>
      <c r="B192" t="str">
        <f t="shared" ref="B192:B207" si="21">"COMUNAGLIE DI MURTA"</f>
        <v>COMUNAGLIE DI MURTA</v>
      </c>
      <c r="C192" t="str">
        <f t="shared" si="20"/>
        <v>4</v>
      </c>
      <c r="D192">
        <v>11</v>
      </c>
      <c r="E192" t="str">
        <f>"110"</f>
        <v>110</v>
      </c>
      <c r="F192" t="str">
        <f t="shared" si="16"/>
        <v>0000</v>
      </c>
    </row>
    <row r="193" spans="1:6">
      <c r="A193" t="str">
        <f>"T767-2"</f>
        <v>T767-2</v>
      </c>
      <c r="B193" t="str">
        <f t="shared" si="21"/>
        <v>COMUNAGLIE DI MURTA</v>
      </c>
      <c r="C193" t="str">
        <f t="shared" si="20"/>
        <v>4</v>
      </c>
      <c r="D193">
        <v>11</v>
      </c>
      <c r="E193" t="str">
        <f>"111"</f>
        <v>111</v>
      </c>
      <c r="F193" t="str">
        <f t="shared" si="16"/>
        <v>0000</v>
      </c>
    </row>
    <row r="194" spans="1:6">
      <c r="A194" t="str">
        <f>"T767-3"</f>
        <v>T767-3</v>
      </c>
      <c r="B194" t="str">
        <f t="shared" si="21"/>
        <v>COMUNAGLIE DI MURTA</v>
      </c>
      <c r="C194" t="str">
        <f t="shared" si="20"/>
        <v>4</v>
      </c>
      <c r="D194">
        <v>11</v>
      </c>
      <c r="E194" t="str">
        <f>"112"</f>
        <v>112</v>
      </c>
      <c r="F194" t="str">
        <f t="shared" si="16"/>
        <v>0000</v>
      </c>
    </row>
    <row r="195" spans="1:6">
      <c r="A195" t="str">
        <f>"T767-4"</f>
        <v>T767-4</v>
      </c>
      <c r="B195" t="str">
        <f t="shared" si="21"/>
        <v>COMUNAGLIE DI MURTA</v>
      </c>
      <c r="C195" t="str">
        <f t="shared" si="20"/>
        <v>4</v>
      </c>
      <c r="D195">
        <v>11</v>
      </c>
      <c r="E195" t="str">
        <f>"181"</f>
        <v>181</v>
      </c>
      <c r="F195" t="str">
        <f t="shared" si="16"/>
        <v>0000</v>
      </c>
    </row>
    <row r="196" spans="1:6">
      <c r="A196" t="str">
        <f>"T767-5"</f>
        <v>T767-5</v>
      </c>
      <c r="B196" t="str">
        <f t="shared" si="21"/>
        <v>COMUNAGLIE DI MURTA</v>
      </c>
      <c r="C196" t="str">
        <f t="shared" si="20"/>
        <v>4</v>
      </c>
      <c r="D196">
        <v>11</v>
      </c>
      <c r="E196" t="str">
        <f>"200"</f>
        <v>200</v>
      </c>
      <c r="F196" t="str">
        <f t="shared" si="16"/>
        <v>0000</v>
      </c>
    </row>
    <row r="197" spans="1:6">
      <c r="A197" t="str">
        <f>"T767-6"</f>
        <v>T767-6</v>
      </c>
      <c r="B197" t="str">
        <f t="shared" si="21"/>
        <v>COMUNAGLIE DI MURTA</v>
      </c>
      <c r="C197" t="str">
        <f t="shared" si="20"/>
        <v>4</v>
      </c>
      <c r="D197">
        <v>11</v>
      </c>
      <c r="E197" t="str">
        <f>"237"</f>
        <v>237</v>
      </c>
      <c r="F197" t="str">
        <f t="shared" si="16"/>
        <v>0000</v>
      </c>
    </row>
    <row r="198" spans="1:6">
      <c r="A198" t="str">
        <f>"T767-7"</f>
        <v>T767-7</v>
      </c>
      <c r="B198" t="str">
        <f t="shared" si="21"/>
        <v>COMUNAGLIE DI MURTA</v>
      </c>
      <c r="C198" t="str">
        <f t="shared" si="20"/>
        <v>4</v>
      </c>
      <c r="D198">
        <v>11</v>
      </c>
      <c r="E198" t="str">
        <f>"239"</f>
        <v>239</v>
      </c>
      <c r="F198" t="str">
        <f t="shared" si="16"/>
        <v>0000</v>
      </c>
    </row>
    <row r="199" spans="1:6">
      <c r="A199" t="str">
        <f>"T767-8"</f>
        <v>T767-8</v>
      </c>
      <c r="B199" t="str">
        <f t="shared" si="21"/>
        <v>COMUNAGLIE DI MURTA</v>
      </c>
      <c r="C199" t="str">
        <f t="shared" si="20"/>
        <v>4</v>
      </c>
      <c r="D199">
        <v>12</v>
      </c>
      <c r="E199" t="str">
        <f>"1"</f>
        <v>1</v>
      </c>
      <c r="F199" t="str">
        <f t="shared" si="16"/>
        <v>0000</v>
      </c>
    </row>
    <row r="200" spans="1:6">
      <c r="A200" t="str">
        <f>"T767-9"</f>
        <v>T767-9</v>
      </c>
      <c r="B200" t="str">
        <f t="shared" si="21"/>
        <v>COMUNAGLIE DI MURTA</v>
      </c>
      <c r="C200" t="str">
        <f t="shared" si="20"/>
        <v>4</v>
      </c>
      <c r="D200">
        <v>12</v>
      </c>
      <c r="E200" t="str">
        <f>"2"</f>
        <v>2</v>
      </c>
      <c r="F200" t="str">
        <f t="shared" si="16"/>
        <v>0000</v>
      </c>
    </row>
    <row r="201" spans="1:6">
      <c r="A201" t="str">
        <f>"T767-10"</f>
        <v>T767-10</v>
      </c>
      <c r="B201" t="str">
        <f t="shared" si="21"/>
        <v>COMUNAGLIE DI MURTA</v>
      </c>
      <c r="C201" t="str">
        <f t="shared" si="20"/>
        <v>4</v>
      </c>
      <c r="D201">
        <v>12</v>
      </c>
      <c r="E201" t="str">
        <f>"3"</f>
        <v>3</v>
      </c>
      <c r="F201" t="str">
        <f t="shared" si="16"/>
        <v>0000</v>
      </c>
    </row>
    <row r="202" spans="1:6">
      <c r="A202" t="str">
        <f>"T767-11"</f>
        <v>T767-11</v>
      </c>
      <c r="B202" t="str">
        <f t="shared" si="21"/>
        <v>COMUNAGLIE DI MURTA</v>
      </c>
      <c r="C202" t="str">
        <f t="shared" si="20"/>
        <v>4</v>
      </c>
      <c r="D202">
        <v>12</v>
      </c>
      <c r="E202" t="str">
        <f>"4"</f>
        <v>4</v>
      </c>
      <c r="F202" t="str">
        <f t="shared" si="16"/>
        <v>0000</v>
      </c>
    </row>
    <row r="203" spans="1:6">
      <c r="A203" t="str">
        <f>"T767-12"</f>
        <v>T767-12</v>
      </c>
      <c r="B203" t="str">
        <f t="shared" si="21"/>
        <v>COMUNAGLIE DI MURTA</v>
      </c>
      <c r="C203" t="str">
        <f t="shared" si="20"/>
        <v>4</v>
      </c>
      <c r="D203">
        <v>12</v>
      </c>
      <c r="E203" t="str">
        <f>"5"</f>
        <v>5</v>
      </c>
      <c r="F203" t="str">
        <f t="shared" si="16"/>
        <v>0000</v>
      </c>
    </row>
    <row r="204" spans="1:6">
      <c r="A204" t="str">
        <f>"T767-13"</f>
        <v>T767-13</v>
      </c>
      <c r="B204" t="str">
        <f t="shared" si="21"/>
        <v>COMUNAGLIE DI MURTA</v>
      </c>
      <c r="C204" t="str">
        <f t="shared" si="20"/>
        <v>4</v>
      </c>
      <c r="D204">
        <v>12</v>
      </c>
      <c r="E204" t="str">
        <f>"6"</f>
        <v>6</v>
      </c>
      <c r="F204" t="str">
        <f t="shared" si="16"/>
        <v>0000</v>
      </c>
    </row>
    <row r="205" spans="1:6">
      <c r="A205" t="str">
        <f>"T767-14"</f>
        <v>T767-14</v>
      </c>
      <c r="B205" t="str">
        <f t="shared" si="21"/>
        <v>COMUNAGLIE DI MURTA</v>
      </c>
      <c r="C205" t="str">
        <f t="shared" si="20"/>
        <v>4</v>
      </c>
      <c r="D205">
        <v>12</v>
      </c>
      <c r="E205" t="str">
        <f>"7"</f>
        <v>7</v>
      </c>
      <c r="F205" t="str">
        <f t="shared" si="16"/>
        <v>0000</v>
      </c>
    </row>
    <row r="206" spans="1:6">
      <c r="A206" t="str">
        <f>"T767-15"</f>
        <v>T767-15</v>
      </c>
      <c r="B206" t="str">
        <f t="shared" si="21"/>
        <v>COMUNAGLIE DI MURTA</v>
      </c>
      <c r="C206" t="str">
        <f t="shared" si="20"/>
        <v>4</v>
      </c>
      <c r="D206">
        <v>12</v>
      </c>
      <c r="E206" t="str">
        <f>"92"</f>
        <v>92</v>
      </c>
      <c r="F206" t="str">
        <f t="shared" si="16"/>
        <v>0000</v>
      </c>
    </row>
    <row r="207" spans="1:6">
      <c r="A207" t="str">
        <f>"T767-16"</f>
        <v>T767-16</v>
      </c>
      <c r="B207" t="str">
        <f t="shared" si="21"/>
        <v>COMUNAGLIE DI MURTA</v>
      </c>
      <c r="C207" t="str">
        <f t="shared" si="20"/>
        <v>4</v>
      </c>
      <c r="D207">
        <v>13</v>
      </c>
      <c r="E207" t="str">
        <f>"67"</f>
        <v>67</v>
      </c>
      <c r="F207" t="str">
        <f t="shared" ref="F207:F239" si="22">"0000"</f>
        <v>0000</v>
      </c>
    </row>
    <row r="208" spans="1:6">
      <c r="A208" t="str">
        <f>"T768-1"</f>
        <v>T768-1</v>
      </c>
      <c r="B208" t="str">
        <f>"VIA DEL BRASILE VICINO AL 21-"</f>
        <v>VIA DEL BRASILE VICINO AL 21-</v>
      </c>
      <c r="C208" t="str">
        <f t="shared" si="20"/>
        <v>4</v>
      </c>
      <c r="D208">
        <v>20</v>
      </c>
      <c r="E208" t="str">
        <f>"C"</f>
        <v>C</v>
      </c>
      <c r="F208" t="str">
        <f t="shared" si="22"/>
        <v>0000</v>
      </c>
    </row>
    <row r="209" spans="1:6">
      <c r="A209" t="str">
        <f>"T769-1"</f>
        <v>T769-1</v>
      </c>
      <c r="B209" t="str">
        <f>"VIA CHIESA DI GEMINIANO VICINO AL 268-"</f>
        <v>VIA CHIESA DI GEMINIANO VICINO AL 268-</v>
      </c>
      <c r="C209" t="str">
        <f t="shared" si="20"/>
        <v>4</v>
      </c>
      <c r="D209">
        <v>22</v>
      </c>
      <c r="E209" t="str">
        <f>"B"</f>
        <v>B</v>
      </c>
      <c r="F209" t="str">
        <f t="shared" si="22"/>
        <v>0000</v>
      </c>
    </row>
    <row r="210" spans="1:6">
      <c r="A210" t="str">
        <f>"T771-1"</f>
        <v>T771-1</v>
      </c>
      <c r="B210" t="str">
        <f>"VIA SANT NS DELLA GUARDIA VICINO AL 29-"</f>
        <v>VIA SANT NS DELLA GUARDIA VICINO AL 29-</v>
      </c>
      <c r="C210" t="str">
        <f t="shared" si="20"/>
        <v>4</v>
      </c>
      <c r="D210">
        <v>14</v>
      </c>
      <c r="E210" t="str">
        <f>"34"</f>
        <v>34</v>
      </c>
      <c r="F210" t="str">
        <f t="shared" si="22"/>
        <v>0000</v>
      </c>
    </row>
    <row r="211" spans="1:6">
      <c r="A211" t="str">
        <f>"T771-2"</f>
        <v>T771-2</v>
      </c>
      <c r="B211" t="str">
        <f>"VIA SANT NS DELLA GUARDIA VICINO AL 29-"</f>
        <v>VIA SANT NS DELLA GUARDIA VICINO AL 29-</v>
      </c>
      <c r="C211" t="str">
        <f t="shared" si="20"/>
        <v>4</v>
      </c>
      <c r="D211">
        <v>14</v>
      </c>
      <c r="E211" t="str">
        <f>"388"</f>
        <v>388</v>
      </c>
      <c r="F211" t="str">
        <f t="shared" si="22"/>
        <v>0000</v>
      </c>
    </row>
    <row r="212" spans="1:6">
      <c r="A212" t="str">
        <f>"T771-3"</f>
        <v>T771-3</v>
      </c>
      <c r="B212" t="str">
        <f>"VIA SANT NS DELLA GUARDIA VICINO AL 29-"</f>
        <v>VIA SANT NS DELLA GUARDIA VICINO AL 29-</v>
      </c>
      <c r="C212" t="str">
        <f t="shared" si="20"/>
        <v>4</v>
      </c>
      <c r="D212">
        <v>14</v>
      </c>
      <c r="E212" t="str">
        <f>"410"</f>
        <v>410</v>
      </c>
      <c r="F212" t="str">
        <f t="shared" si="22"/>
        <v>0000</v>
      </c>
    </row>
    <row r="213" spans="1:6">
      <c r="A213" t="str">
        <f>"T772-1"</f>
        <v>T772-1</v>
      </c>
      <c r="B213" t="str">
        <f>"SALITA RONCO VICINO AL 15-"</f>
        <v>SALITA RONCO VICINO AL 15-</v>
      </c>
      <c r="C213" t="str">
        <f t="shared" si="20"/>
        <v>4</v>
      </c>
      <c r="D213">
        <v>14</v>
      </c>
      <c r="E213" t="str">
        <f>"299"</f>
        <v>299</v>
      </c>
      <c r="F213" t="str">
        <f t="shared" si="22"/>
        <v>0000</v>
      </c>
    </row>
    <row r="214" spans="1:6">
      <c r="A214" t="str">
        <f>"T772-2"</f>
        <v>T772-2</v>
      </c>
      <c r="B214" t="str">
        <f>"SALITA RONCO VICINO AL 15-"</f>
        <v>SALITA RONCO VICINO AL 15-</v>
      </c>
      <c r="C214" t="str">
        <f t="shared" si="20"/>
        <v>4</v>
      </c>
      <c r="D214">
        <v>14</v>
      </c>
      <c r="E214" t="str">
        <f>"300"</f>
        <v>300</v>
      </c>
      <c r="F214" t="str">
        <f t="shared" si="22"/>
        <v>0000</v>
      </c>
    </row>
    <row r="215" spans="1:6">
      <c r="A215" t="str">
        <f>"T772-3"</f>
        <v>T772-3</v>
      </c>
      <c r="B215" t="str">
        <f>"SALITA RONCO VICINO AL 15-"</f>
        <v>SALITA RONCO VICINO AL 15-</v>
      </c>
      <c r="C215" t="str">
        <f t="shared" si="20"/>
        <v>4</v>
      </c>
      <c r="D215">
        <v>14</v>
      </c>
      <c r="E215" t="str">
        <f>"99999"</f>
        <v>99999</v>
      </c>
      <c r="F215" t="str">
        <f t="shared" si="22"/>
        <v>0000</v>
      </c>
    </row>
    <row r="216" spans="1:6">
      <c r="A216" t="str">
        <f>"T773-1"</f>
        <v>T773-1</v>
      </c>
      <c r="B216" t="str">
        <f t="shared" ref="B216:B222" si="23">"VIA SUPERIORE GEMINIANO VICINO AL 34-"</f>
        <v>VIA SUPERIORE GEMINIANO VICINO AL 34-</v>
      </c>
      <c r="C216" t="str">
        <f t="shared" si="20"/>
        <v>4</v>
      </c>
      <c r="D216">
        <v>28</v>
      </c>
      <c r="E216" t="str">
        <f>"234"</f>
        <v>234</v>
      </c>
      <c r="F216" t="str">
        <f t="shared" si="22"/>
        <v>0000</v>
      </c>
    </row>
    <row r="217" spans="1:6">
      <c r="A217" t="str">
        <f>"T773-2"</f>
        <v>T773-2</v>
      </c>
      <c r="B217" t="str">
        <f t="shared" si="23"/>
        <v>VIA SUPERIORE GEMINIANO VICINO AL 34-</v>
      </c>
      <c r="C217" t="str">
        <f t="shared" si="20"/>
        <v>4</v>
      </c>
      <c r="D217">
        <v>28</v>
      </c>
      <c r="E217" t="str">
        <f>"235"</f>
        <v>235</v>
      </c>
      <c r="F217" t="str">
        <f t="shared" si="22"/>
        <v>0000</v>
      </c>
    </row>
    <row r="218" spans="1:6">
      <c r="A218" t="str">
        <f>"T773-3"</f>
        <v>T773-3</v>
      </c>
      <c r="B218" t="str">
        <f t="shared" si="23"/>
        <v>VIA SUPERIORE GEMINIANO VICINO AL 34-</v>
      </c>
      <c r="C218" t="str">
        <f t="shared" si="20"/>
        <v>4</v>
      </c>
      <c r="D218">
        <v>28</v>
      </c>
      <c r="E218" t="str">
        <f>"237"</f>
        <v>237</v>
      </c>
      <c r="F218" t="str">
        <f t="shared" si="22"/>
        <v>0000</v>
      </c>
    </row>
    <row r="219" spans="1:6">
      <c r="A219" t="str">
        <f>"T773-4"</f>
        <v>T773-4</v>
      </c>
      <c r="B219" t="str">
        <f t="shared" si="23"/>
        <v>VIA SUPERIORE GEMINIANO VICINO AL 34-</v>
      </c>
      <c r="C219" t="str">
        <f t="shared" si="20"/>
        <v>4</v>
      </c>
      <c r="D219">
        <v>28</v>
      </c>
      <c r="E219" t="str">
        <f>"238"</f>
        <v>238</v>
      </c>
      <c r="F219" t="str">
        <f t="shared" si="22"/>
        <v>0000</v>
      </c>
    </row>
    <row r="220" spans="1:6">
      <c r="A220" t="str">
        <f>"T773-5"</f>
        <v>T773-5</v>
      </c>
      <c r="B220" t="str">
        <f t="shared" si="23"/>
        <v>VIA SUPERIORE GEMINIANO VICINO AL 34-</v>
      </c>
      <c r="C220" t="str">
        <f t="shared" si="20"/>
        <v>4</v>
      </c>
      <c r="D220">
        <v>28</v>
      </c>
      <c r="E220" t="str">
        <f>"242"</f>
        <v>242</v>
      </c>
      <c r="F220" t="str">
        <f t="shared" si="22"/>
        <v>0000</v>
      </c>
    </row>
    <row r="221" spans="1:6">
      <c r="A221" t="str">
        <f>"T773-6"</f>
        <v>T773-6</v>
      </c>
      <c r="B221" t="str">
        <f t="shared" si="23"/>
        <v>VIA SUPERIORE GEMINIANO VICINO AL 34-</v>
      </c>
      <c r="C221" t="str">
        <f t="shared" si="20"/>
        <v>4</v>
      </c>
      <c r="D221">
        <v>28</v>
      </c>
      <c r="E221" t="str">
        <f>"243"</f>
        <v>243</v>
      </c>
      <c r="F221" t="str">
        <f t="shared" si="22"/>
        <v>0000</v>
      </c>
    </row>
    <row r="222" spans="1:6">
      <c r="A222" t="str">
        <f>"T773-7"</f>
        <v>T773-7</v>
      </c>
      <c r="B222" t="str">
        <f t="shared" si="23"/>
        <v>VIA SUPERIORE GEMINIANO VICINO AL 34-</v>
      </c>
      <c r="C222" t="str">
        <f t="shared" si="20"/>
        <v>4</v>
      </c>
      <c r="D222">
        <v>28</v>
      </c>
      <c r="E222" t="str">
        <f>"244"</f>
        <v>244</v>
      </c>
      <c r="F222" t="str">
        <f t="shared" si="22"/>
        <v>0000</v>
      </c>
    </row>
    <row r="223" spans="1:6">
      <c r="A223" t="str">
        <f>"T774-1"</f>
        <v>T774-1</v>
      </c>
      <c r="B223" t="str">
        <f>"VIA SANT NS DELLA GUARDIA VICINO AL 42-"</f>
        <v>VIA SANT NS DELLA GUARDIA VICINO AL 42-</v>
      </c>
      <c r="C223" t="str">
        <f t="shared" si="20"/>
        <v>4</v>
      </c>
      <c r="D223">
        <v>15</v>
      </c>
      <c r="E223" t="str">
        <f>"1010"</f>
        <v>1010</v>
      </c>
      <c r="F223" t="str">
        <f t="shared" si="22"/>
        <v>0000</v>
      </c>
    </row>
    <row r="224" spans="1:6">
      <c r="A224" t="str">
        <f>"T778-1"</f>
        <v>T778-1</v>
      </c>
      <c r="B224" t="str">
        <f>"VIA UGO POLONIO VICINO AL 14A-"</f>
        <v>VIA UGO POLONIO VICINO AL 14A-</v>
      </c>
      <c r="C224" t="str">
        <f t="shared" si="20"/>
        <v>4</v>
      </c>
      <c r="D224">
        <v>16</v>
      </c>
      <c r="E224" t="str">
        <f>"351"</f>
        <v>351</v>
      </c>
      <c r="F224" t="str">
        <f t="shared" si="22"/>
        <v>0000</v>
      </c>
    </row>
    <row r="225" spans="1:6">
      <c r="A225" t="str">
        <f>"T779-1"</f>
        <v>T779-1</v>
      </c>
      <c r="B225" t="str">
        <f>"P.ZA PAOLUCCI DE CALBOLI VICINO AL 1-"</f>
        <v>P.ZA PAOLUCCI DE CALBOLI VICINO AL 1-</v>
      </c>
      <c r="C225" t="str">
        <f>"3"</f>
        <v>3</v>
      </c>
      <c r="D225">
        <v>68</v>
      </c>
      <c r="E225" t="str">
        <f>"24"</f>
        <v>24</v>
      </c>
      <c r="F225" t="str">
        <f t="shared" si="22"/>
        <v>0000</v>
      </c>
    </row>
    <row r="226" spans="1:6">
      <c r="A226" t="str">
        <f>"T779-2"</f>
        <v>T779-2</v>
      </c>
      <c r="B226" t="str">
        <f>"P.ZA PAOLUCCI DE CALBOLI VICINO AL 1-"</f>
        <v>P.ZA PAOLUCCI DE CALBOLI VICINO AL 1-</v>
      </c>
      <c r="C226" t="str">
        <f>"3"</f>
        <v>3</v>
      </c>
      <c r="D226">
        <v>68</v>
      </c>
      <c r="E226" t="str">
        <f>"87"</f>
        <v>87</v>
      </c>
      <c r="F226" t="str">
        <f t="shared" si="22"/>
        <v>0000</v>
      </c>
    </row>
    <row r="227" spans="1:6">
      <c r="A227" t="str">
        <f>"T779-3"</f>
        <v>T779-3</v>
      </c>
      <c r="B227" t="str">
        <f>"P.ZA PAOLUCCI DE CALBOLI VICINO AL 1-"</f>
        <v>P.ZA PAOLUCCI DE CALBOLI VICINO AL 1-</v>
      </c>
      <c r="C227" t="str">
        <f>"3"</f>
        <v>3</v>
      </c>
      <c r="D227">
        <v>68</v>
      </c>
      <c r="E227" t="str">
        <f>"88"</f>
        <v>88</v>
      </c>
      <c r="F227" t="str">
        <f t="shared" si="22"/>
        <v>0000</v>
      </c>
    </row>
    <row r="228" spans="1:6">
      <c r="A228" t="str">
        <f>"T780-1"</f>
        <v>T780-1</v>
      </c>
      <c r="B228" t="str">
        <f>"P.ZA PAOLUCCI DE CALBOLI VICINO AL 1-"</f>
        <v>P.ZA PAOLUCCI DE CALBOLI VICINO AL 1-</v>
      </c>
      <c r="C228" t="str">
        <f>"BOR"</f>
        <v>BOR</v>
      </c>
      <c r="D228">
        <v>68</v>
      </c>
      <c r="E228" t="str">
        <f>"26"</f>
        <v>26</v>
      </c>
      <c r="F228" t="str">
        <f t="shared" si="22"/>
        <v>0000</v>
      </c>
    </row>
    <row r="229" spans="1:6">
      <c r="A229" t="str">
        <f>"T781-1"</f>
        <v>T781-1</v>
      </c>
      <c r="B229" t="str">
        <f>"VIA EVANDRO FERRI VICINO AL 34-"</f>
        <v>VIA EVANDRO FERRI VICINO AL 34-</v>
      </c>
      <c r="C229" t="str">
        <f>"3"</f>
        <v>3</v>
      </c>
      <c r="D229">
        <v>68</v>
      </c>
      <c r="E229" t="str">
        <f>"20"</f>
        <v>20</v>
      </c>
      <c r="F229" t="str">
        <f t="shared" si="22"/>
        <v>0000</v>
      </c>
    </row>
    <row r="230" spans="1:6">
      <c r="A230" t="str">
        <f>"T782-1"</f>
        <v>T782-1</v>
      </c>
      <c r="B230" t="str">
        <f t="shared" ref="B230:B238" si="24">"VIA DELLA PIETRA VICINO AL 1-"</f>
        <v>VIA DELLA PIETRA VICINO AL 1-</v>
      </c>
      <c r="C230" t="str">
        <f t="shared" ref="C230:C238" si="25">"4"</f>
        <v>4</v>
      </c>
      <c r="D230">
        <v>38</v>
      </c>
      <c r="E230" t="str">
        <f>"79"</f>
        <v>79</v>
      </c>
      <c r="F230" t="str">
        <f t="shared" si="22"/>
        <v>0000</v>
      </c>
    </row>
    <row r="231" spans="1:6">
      <c r="A231" t="str">
        <f>"T782-2"</f>
        <v>T782-2</v>
      </c>
      <c r="B231" t="str">
        <f t="shared" si="24"/>
        <v>VIA DELLA PIETRA VICINO AL 1-</v>
      </c>
      <c r="C231" t="str">
        <f t="shared" si="25"/>
        <v>4</v>
      </c>
      <c r="D231">
        <v>38</v>
      </c>
      <c r="E231" t="str">
        <f>"88"</f>
        <v>88</v>
      </c>
      <c r="F231" t="str">
        <f t="shared" si="22"/>
        <v>0000</v>
      </c>
    </row>
    <row r="232" spans="1:6">
      <c r="A232" t="str">
        <f>"T782-3"</f>
        <v>T782-3</v>
      </c>
      <c r="B232" t="str">
        <f t="shared" si="24"/>
        <v>VIA DELLA PIETRA VICINO AL 1-</v>
      </c>
      <c r="C232" t="str">
        <f t="shared" si="25"/>
        <v>4</v>
      </c>
      <c r="D232">
        <v>38</v>
      </c>
      <c r="E232" t="str">
        <f>"94"</f>
        <v>94</v>
      </c>
      <c r="F232" t="str">
        <f t="shared" si="22"/>
        <v>0000</v>
      </c>
    </row>
    <row r="233" spans="1:6">
      <c r="A233" t="str">
        <f>"T782-4"</f>
        <v>T782-4</v>
      </c>
      <c r="B233" t="str">
        <f t="shared" si="24"/>
        <v>VIA DELLA PIETRA VICINO AL 1-</v>
      </c>
      <c r="C233" t="str">
        <f t="shared" si="25"/>
        <v>4</v>
      </c>
      <c r="D233">
        <v>38</v>
      </c>
      <c r="E233" t="str">
        <f>"665"</f>
        <v>665</v>
      </c>
      <c r="F233" t="str">
        <f t="shared" si="22"/>
        <v>0000</v>
      </c>
    </row>
    <row r="234" spans="1:6">
      <c r="A234" t="str">
        <f>"T782-5"</f>
        <v>T782-5</v>
      </c>
      <c r="B234" t="str">
        <f t="shared" si="24"/>
        <v>VIA DELLA PIETRA VICINO AL 1-</v>
      </c>
      <c r="C234" t="str">
        <f t="shared" si="25"/>
        <v>4</v>
      </c>
      <c r="D234">
        <v>38</v>
      </c>
      <c r="E234" t="str">
        <f>"666"</f>
        <v>666</v>
      </c>
      <c r="F234" t="str">
        <f t="shared" si="22"/>
        <v>0000</v>
      </c>
    </row>
    <row r="235" spans="1:6">
      <c r="A235" t="str">
        <f>"T782-6"</f>
        <v>T782-6</v>
      </c>
      <c r="B235" t="str">
        <f t="shared" si="24"/>
        <v>VIA DELLA PIETRA VICINO AL 1-</v>
      </c>
      <c r="C235" t="str">
        <f t="shared" si="25"/>
        <v>4</v>
      </c>
      <c r="D235">
        <v>38</v>
      </c>
      <c r="E235" t="str">
        <f>"667"</f>
        <v>667</v>
      </c>
      <c r="F235" t="str">
        <f t="shared" si="22"/>
        <v>0000</v>
      </c>
    </row>
    <row r="236" spans="1:6">
      <c r="A236" t="str">
        <f>"T782-7"</f>
        <v>T782-7</v>
      </c>
      <c r="B236" t="str">
        <f t="shared" si="24"/>
        <v>VIA DELLA PIETRA VICINO AL 1-</v>
      </c>
      <c r="C236" t="str">
        <f t="shared" si="25"/>
        <v>4</v>
      </c>
      <c r="D236">
        <v>38</v>
      </c>
      <c r="E236" t="str">
        <f>"101"</f>
        <v>101</v>
      </c>
      <c r="F236" t="str">
        <f t="shared" si="22"/>
        <v>0000</v>
      </c>
    </row>
    <row r="237" spans="1:6">
      <c r="A237" t="str">
        <f>"T782-8"</f>
        <v>T782-8</v>
      </c>
      <c r="B237" t="str">
        <f t="shared" si="24"/>
        <v>VIA DELLA PIETRA VICINO AL 1-</v>
      </c>
      <c r="C237" t="str">
        <f t="shared" si="25"/>
        <v>4</v>
      </c>
      <c r="D237">
        <v>38</v>
      </c>
      <c r="E237" t="str">
        <f>"670"</f>
        <v>670</v>
      </c>
      <c r="F237" t="str">
        <f t="shared" si="22"/>
        <v>0000</v>
      </c>
    </row>
    <row r="238" spans="1:6">
      <c r="A238" t="str">
        <f>"T782-9"</f>
        <v>T782-9</v>
      </c>
      <c r="B238" t="str">
        <f t="shared" si="24"/>
        <v>VIA DELLA PIETRA VICINO AL 1-</v>
      </c>
      <c r="C238" t="str">
        <f t="shared" si="25"/>
        <v>4</v>
      </c>
      <c r="D238">
        <v>38</v>
      </c>
      <c r="E238" t="str">
        <f>"102"</f>
        <v>102</v>
      </c>
      <c r="F238" t="str">
        <f t="shared" si="22"/>
        <v>0000</v>
      </c>
    </row>
    <row r="239" spans="1:6">
      <c r="A239" t="str">
        <f>"T785-1"</f>
        <v>T785-1</v>
      </c>
      <c r="B239" t="str">
        <f>"VIA EVANDRO FERRI VICINO AL 10-"</f>
        <v>VIA EVANDRO FERRI VICINO AL 10-</v>
      </c>
      <c r="C239" t="str">
        <f>"3"</f>
        <v>3</v>
      </c>
      <c r="D239">
        <v>69</v>
      </c>
      <c r="E239" t="str">
        <f>"99999"</f>
        <v>99999</v>
      </c>
      <c r="F239" t="str">
        <f t="shared" si="22"/>
        <v>0000</v>
      </c>
    </row>
    <row r="240" spans="1:6">
      <c r="A240" t="str">
        <f>"T792-1"</f>
        <v>T792-1</v>
      </c>
      <c r="B240" t="str">
        <f>"VIA SAN BONAVENTURA VICINO AL 4-"</f>
        <v>VIA SAN BONAVENTURA VICINO AL 4-</v>
      </c>
      <c r="C240" t="str">
        <f>"PON"</f>
        <v>PON</v>
      </c>
      <c r="D240">
        <v>4</v>
      </c>
      <c r="E240" t="str">
        <f>"167"</f>
        <v>167</v>
      </c>
      <c r="F240" t="str">
        <f>"1"</f>
        <v>1</v>
      </c>
    </row>
    <row r="241" spans="1:6">
      <c r="A241" t="str">
        <f>"T793-1"</f>
        <v>T793-1</v>
      </c>
      <c r="B241" t="str">
        <f>"SALITA VITTORIO BERSEZIO VICINO AL 9-"</f>
        <v>SALITA VITTORIO BERSEZIO VICINO AL 9-</v>
      </c>
      <c r="C241" t="str">
        <f t="shared" ref="C241:C272" si="26">"4"</f>
        <v>4</v>
      </c>
      <c r="D241">
        <v>38</v>
      </c>
      <c r="E241" t="str">
        <f>"187"</f>
        <v>187</v>
      </c>
      <c r="F241" t="str">
        <f t="shared" ref="F241:F263" si="27">"0000"</f>
        <v>0000</v>
      </c>
    </row>
    <row r="242" spans="1:6">
      <c r="A242" t="str">
        <f>"T796-1"</f>
        <v>T796-1</v>
      </c>
      <c r="B242" t="str">
        <f t="shared" ref="B242:B262" si="28">"LUNGOTORRENTE SECCA VICINO AL 3-"</f>
        <v>LUNGOTORRENTE SECCA VICINO AL 3-</v>
      </c>
      <c r="C242" t="str">
        <f t="shared" si="26"/>
        <v>4</v>
      </c>
      <c r="D242">
        <v>9</v>
      </c>
      <c r="E242" t="str">
        <f>"288"</f>
        <v>288</v>
      </c>
      <c r="F242" t="str">
        <f t="shared" si="27"/>
        <v>0000</v>
      </c>
    </row>
    <row r="243" spans="1:6">
      <c r="A243" t="str">
        <f>"T796-2"</f>
        <v>T796-2</v>
      </c>
      <c r="B243" t="str">
        <f t="shared" si="28"/>
        <v>LUNGOTORRENTE SECCA VICINO AL 3-</v>
      </c>
      <c r="C243" t="str">
        <f t="shared" si="26"/>
        <v>4</v>
      </c>
      <c r="D243">
        <v>9</v>
      </c>
      <c r="E243" t="str">
        <f>"290"</f>
        <v>290</v>
      </c>
      <c r="F243" t="str">
        <f t="shared" si="27"/>
        <v>0000</v>
      </c>
    </row>
    <row r="244" spans="1:6">
      <c r="A244" t="str">
        <f>"T796-3"</f>
        <v>T796-3</v>
      </c>
      <c r="B244" t="str">
        <f t="shared" si="28"/>
        <v>LUNGOTORRENTE SECCA VICINO AL 3-</v>
      </c>
      <c r="C244" t="str">
        <f t="shared" si="26"/>
        <v>4</v>
      </c>
      <c r="D244">
        <v>9</v>
      </c>
      <c r="E244" t="str">
        <f>"291"</f>
        <v>291</v>
      </c>
      <c r="F244" t="str">
        <f t="shared" si="27"/>
        <v>0000</v>
      </c>
    </row>
    <row r="245" spans="1:6">
      <c r="A245" t="str">
        <f>"T796-4"</f>
        <v>T796-4</v>
      </c>
      <c r="B245" t="str">
        <f t="shared" si="28"/>
        <v>LUNGOTORRENTE SECCA VICINO AL 3-</v>
      </c>
      <c r="C245" t="str">
        <f t="shared" si="26"/>
        <v>4</v>
      </c>
      <c r="D245">
        <v>9</v>
      </c>
      <c r="E245" t="str">
        <f>"321"</f>
        <v>321</v>
      </c>
      <c r="F245" t="str">
        <f t="shared" si="27"/>
        <v>0000</v>
      </c>
    </row>
    <row r="246" spans="1:6">
      <c r="A246" t="str">
        <f>"T796-5"</f>
        <v>T796-5</v>
      </c>
      <c r="B246" t="str">
        <f t="shared" si="28"/>
        <v>LUNGOTORRENTE SECCA VICINO AL 3-</v>
      </c>
      <c r="C246" t="str">
        <f t="shared" si="26"/>
        <v>4</v>
      </c>
      <c r="D246">
        <v>9</v>
      </c>
      <c r="E246" t="str">
        <f>"322"</f>
        <v>322</v>
      </c>
      <c r="F246" t="str">
        <f t="shared" si="27"/>
        <v>0000</v>
      </c>
    </row>
    <row r="247" spans="1:6">
      <c r="A247" t="str">
        <f>"T796-6"</f>
        <v>T796-6</v>
      </c>
      <c r="B247" t="str">
        <f t="shared" si="28"/>
        <v>LUNGOTORRENTE SECCA VICINO AL 3-</v>
      </c>
      <c r="C247" t="str">
        <f t="shared" si="26"/>
        <v>4</v>
      </c>
      <c r="D247">
        <v>9</v>
      </c>
      <c r="E247" t="str">
        <f>"323"</f>
        <v>323</v>
      </c>
      <c r="F247" t="str">
        <f t="shared" si="27"/>
        <v>0000</v>
      </c>
    </row>
    <row r="248" spans="1:6">
      <c r="A248" t="str">
        <f>"T796-7"</f>
        <v>T796-7</v>
      </c>
      <c r="B248" t="str">
        <f t="shared" si="28"/>
        <v>LUNGOTORRENTE SECCA VICINO AL 3-</v>
      </c>
      <c r="C248" t="str">
        <f t="shared" si="26"/>
        <v>4</v>
      </c>
      <c r="D248">
        <v>9</v>
      </c>
      <c r="E248" t="str">
        <f>"324"</f>
        <v>324</v>
      </c>
      <c r="F248" t="str">
        <f t="shared" si="27"/>
        <v>0000</v>
      </c>
    </row>
    <row r="249" spans="1:6">
      <c r="A249" t="str">
        <f>"T796-8"</f>
        <v>T796-8</v>
      </c>
      <c r="B249" t="str">
        <f t="shared" si="28"/>
        <v>LUNGOTORRENTE SECCA VICINO AL 3-</v>
      </c>
      <c r="C249" t="str">
        <f t="shared" si="26"/>
        <v>4</v>
      </c>
      <c r="D249">
        <v>9</v>
      </c>
      <c r="E249" t="str">
        <f>"572"</f>
        <v>572</v>
      </c>
      <c r="F249" t="str">
        <f t="shared" si="27"/>
        <v>0000</v>
      </c>
    </row>
    <row r="250" spans="1:6">
      <c r="A250" t="str">
        <f>"T796-9"</f>
        <v>T796-9</v>
      </c>
      <c r="B250" t="str">
        <f t="shared" si="28"/>
        <v>LUNGOTORRENTE SECCA VICINO AL 3-</v>
      </c>
      <c r="C250" t="str">
        <f t="shared" si="26"/>
        <v>4</v>
      </c>
      <c r="D250">
        <v>9</v>
      </c>
      <c r="E250" t="str">
        <f>"574"</f>
        <v>574</v>
      </c>
      <c r="F250" t="str">
        <f t="shared" si="27"/>
        <v>0000</v>
      </c>
    </row>
    <row r="251" spans="1:6">
      <c r="A251" t="str">
        <f>"T796-10"</f>
        <v>T796-10</v>
      </c>
      <c r="B251" t="str">
        <f t="shared" si="28"/>
        <v>LUNGOTORRENTE SECCA VICINO AL 3-</v>
      </c>
      <c r="C251" t="str">
        <f t="shared" si="26"/>
        <v>4</v>
      </c>
      <c r="D251">
        <v>9</v>
      </c>
      <c r="E251" t="str">
        <f>"575"</f>
        <v>575</v>
      </c>
      <c r="F251" t="str">
        <f t="shared" si="27"/>
        <v>0000</v>
      </c>
    </row>
    <row r="252" spans="1:6">
      <c r="A252" t="str">
        <f>"T796-11"</f>
        <v>T796-11</v>
      </c>
      <c r="B252" t="str">
        <f t="shared" si="28"/>
        <v>LUNGOTORRENTE SECCA VICINO AL 3-</v>
      </c>
      <c r="C252" t="str">
        <f t="shared" si="26"/>
        <v>4</v>
      </c>
      <c r="D252">
        <v>9</v>
      </c>
      <c r="E252" t="str">
        <f>"576"</f>
        <v>576</v>
      </c>
      <c r="F252" t="str">
        <f t="shared" si="27"/>
        <v>0000</v>
      </c>
    </row>
    <row r="253" spans="1:6">
      <c r="A253" t="str">
        <f>"T796-12"</f>
        <v>T796-12</v>
      </c>
      <c r="B253" t="str">
        <f t="shared" si="28"/>
        <v>LUNGOTORRENTE SECCA VICINO AL 3-</v>
      </c>
      <c r="C253" t="str">
        <f t="shared" si="26"/>
        <v>4</v>
      </c>
      <c r="D253">
        <v>9</v>
      </c>
      <c r="E253" t="str">
        <f>"577"</f>
        <v>577</v>
      </c>
      <c r="F253" t="str">
        <f t="shared" si="27"/>
        <v>0000</v>
      </c>
    </row>
    <row r="254" spans="1:6">
      <c r="A254" t="str">
        <f>"T796-13"</f>
        <v>T796-13</v>
      </c>
      <c r="B254" t="str">
        <f t="shared" si="28"/>
        <v>LUNGOTORRENTE SECCA VICINO AL 3-</v>
      </c>
      <c r="C254" t="str">
        <f t="shared" si="26"/>
        <v>4</v>
      </c>
      <c r="D254">
        <v>9</v>
      </c>
      <c r="E254" t="str">
        <f>"578"</f>
        <v>578</v>
      </c>
      <c r="F254" t="str">
        <f t="shared" si="27"/>
        <v>0000</v>
      </c>
    </row>
    <row r="255" spans="1:6">
      <c r="A255" t="str">
        <f>"T796-14"</f>
        <v>T796-14</v>
      </c>
      <c r="B255" t="str">
        <f t="shared" si="28"/>
        <v>LUNGOTORRENTE SECCA VICINO AL 3-</v>
      </c>
      <c r="C255" t="str">
        <f t="shared" si="26"/>
        <v>4</v>
      </c>
      <c r="D255">
        <v>9</v>
      </c>
      <c r="E255" t="str">
        <f>"579"</f>
        <v>579</v>
      </c>
      <c r="F255" t="str">
        <f t="shared" si="27"/>
        <v>0000</v>
      </c>
    </row>
    <row r="256" spans="1:6">
      <c r="A256" t="str">
        <f>"T796-15"</f>
        <v>T796-15</v>
      </c>
      <c r="B256" t="str">
        <f t="shared" si="28"/>
        <v>LUNGOTORRENTE SECCA VICINO AL 3-</v>
      </c>
      <c r="C256" t="str">
        <f t="shared" si="26"/>
        <v>4</v>
      </c>
      <c r="D256">
        <v>9</v>
      </c>
      <c r="E256" t="str">
        <f>"622"</f>
        <v>622</v>
      </c>
      <c r="F256" t="str">
        <f t="shared" si="27"/>
        <v>0000</v>
      </c>
    </row>
    <row r="257" spans="1:6">
      <c r="A257" t="str">
        <f>"T796-16"</f>
        <v>T796-16</v>
      </c>
      <c r="B257" t="str">
        <f t="shared" si="28"/>
        <v>LUNGOTORRENTE SECCA VICINO AL 3-</v>
      </c>
      <c r="C257" t="str">
        <f t="shared" si="26"/>
        <v>4</v>
      </c>
      <c r="D257">
        <v>9</v>
      </c>
      <c r="E257" t="str">
        <f>"623"</f>
        <v>623</v>
      </c>
      <c r="F257" t="str">
        <f t="shared" si="27"/>
        <v>0000</v>
      </c>
    </row>
    <row r="258" spans="1:6">
      <c r="A258" t="str">
        <f>"T796-17"</f>
        <v>T796-17</v>
      </c>
      <c r="B258" t="str">
        <f t="shared" si="28"/>
        <v>LUNGOTORRENTE SECCA VICINO AL 3-</v>
      </c>
      <c r="C258" t="str">
        <f t="shared" si="26"/>
        <v>4</v>
      </c>
      <c r="D258">
        <v>9</v>
      </c>
      <c r="E258" t="str">
        <f>"624"</f>
        <v>624</v>
      </c>
      <c r="F258" t="str">
        <f t="shared" si="27"/>
        <v>0000</v>
      </c>
    </row>
    <row r="259" spans="1:6">
      <c r="A259" t="str">
        <f>"T796-18"</f>
        <v>T796-18</v>
      </c>
      <c r="B259" t="str">
        <f t="shared" si="28"/>
        <v>LUNGOTORRENTE SECCA VICINO AL 3-</v>
      </c>
      <c r="C259" t="str">
        <f t="shared" si="26"/>
        <v>4</v>
      </c>
      <c r="D259">
        <v>9</v>
      </c>
      <c r="E259" t="str">
        <f>"625"</f>
        <v>625</v>
      </c>
      <c r="F259" t="str">
        <f t="shared" si="27"/>
        <v>0000</v>
      </c>
    </row>
    <row r="260" spans="1:6">
      <c r="A260" t="str">
        <f>"T796-19"</f>
        <v>T796-19</v>
      </c>
      <c r="B260" t="str">
        <f t="shared" si="28"/>
        <v>LUNGOTORRENTE SECCA VICINO AL 3-</v>
      </c>
      <c r="C260" t="str">
        <f t="shared" si="26"/>
        <v>4</v>
      </c>
      <c r="D260">
        <v>9</v>
      </c>
      <c r="E260" t="str">
        <f>"626"</f>
        <v>626</v>
      </c>
      <c r="F260" t="str">
        <f t="shared" si="27"/>
        <v>0000</v>
      </c>
    </row>
    <row r="261" spans="1:6">
      <c r="A261" t="str">
        <f>"T796-20"</f>
        <v>T796-20</v>
      </c>
      <c r="B261" t="str">
        <f t="shared" si="28"/>
        <v>LUNGOTORRENTE SECCA VICINO AL 3-</v>
      </c>
      <c r="C261" t="str">
        <f t="shared" si="26"/>
        <v>4</v>
      </c>
      <c r="D261">
        <v>9</v>
      </c>
      <c r="E261" t="str">
        <f>"628"</f>
        <v>628</v>
      </c>
      <c r="F261" t="str">
        <f t="shared" si="27"/>
        <v>0000</v>
      </c>
    </row>
    <row r="262" spans="1:6">
      <c r="A262" t="str">
        <f>"T796-21"</f>
        <v>T796-21</v>
      </c>
      <c r="B262" t="str">
        <f t="shared" si="28"/>
        <v>LUNGOTORRENTE SECCA VICINO AL 3-</v>
      </c>
      <c r="C262" t="str">
        <f t="shared" si="26"/>
        <v>4</v>
      </c>
      <c r="D262">
        <v>9</v>
      </c>
      <c r="E262" t="str">
        <f>"629"</f>
        <v>629</v>
      </c>
      <c r="F262" t="str">
        <f t="shared" si="27"/>
        <v>0000</v>
      </c>
    </row>
    <row r="263" spans="1:6">
      <c r="A263" t="str">
        <f>"T797-1"</f>
        <v>T797-1</v>
      </c>
      <c r="B263" t="str">
        <f>"VIA CAMPOLIGURE VICINO AL 38-"</f>
        <v>VIA CAMPOLIGURE VICINO AL 38-</v>
      </c>
      <c r="C263" t="str">
        <f t="shared" si="26"/>
        <v>4</v>
      </c>
      <c r="D263">
        <v>10</v>
      </c>
      <c r="E263" t="str">
        <f>"386"</f>
        <v>386</v>
      </c>
      <c r="F263" t="str">
        <f t="shared" si="27"/>
        <v>0000</v>
      </c>
    </row>
    <row r="264" spans="1:6">
      <c r="A264" t="str">
        <f>"T797-2"</f>
        <v>T797-2</v>
      </c>
      <c r="B264" t="str">
        <f>"VIA CAMPOLIGURE VICINO AL 38-"</f>
        <v>VIA CAMPOLIGURE VICINO AL 38-</v>
      </c>
      <c r="C264" t="str">
        <f t="shared" si="26"/>
        <v>4</v>
      </c>
      <c r="D264">
        <v>10</v>
      </c>
      <c r="E264" t="str">
        <f>"713"</f>
        <v>713</v>
      </c>
      <c r="F264" t="str">
        <f>"0"</f>
        <v>0</v>
      </c>
    </row>
    <row r="265" spans="1:6">
      <c r="A265" t="str">
        <f>"T797-8"</f>
        <v>T797-8</v>
      </c>
      <c r="B265" t="str">
        <f>"VIA CAMPOLIGURE VICINO AL 38-"</f>
        <v>VIA CAMPOLIGURE VICINO AL 38-</v>
      </c>
      <c r="C265" t="str">
        <f t="shared" si="26"/>
        <v>4</v>
      </c>
      <c r="D265">
        <v>14</v>
      </c>
      <c r="E265" t="str">
        <f>"688"</f>
        <v>688</v>
      </c>
      <c r="F265" t="str">
        <f t="shared" ref="F265:F287" si="29">"0000"</f>
        <v>0000</v>
      </c>
    </row>
    <row r="266" spans="1:6">
      <c r="A266" t="str">
        <f>"T797-9"</f>
        <v>T797-9</v>
      </c>
      <c r="B266" t="str">
        <f>"VIA CAMPOLIGURE VICINO AL 38-"</f>
        <v>VIA CAMPOLIGURE VICINO AL 38-</v>
      </c>
      <c r="C266" t="str">
        <f t="shared" si="26"/>
        <v>4</v>
      </c>
      <c r="D266">
        <v>14</v>
      </c>
      <c r="E266" t="str">
        <f>"5000"</f>
        <v>5000</v>
      </c>
      <c r="F266" t="str">
        <f t="shared" si="29"/>
        <v>0000</v>
      </c>
    </row>
    <row r="267" spans="1:6">
      <c r="A267" t="str">
        <f>"T797-10"</f>
        <v>T797-10</v>
      </c>
      <c r="B267" t="str">
        <f>"VIA CAMPOLIGURE VICINO AL 38-"</f>
        <v>VIA CAMPOLIGURE VICINO AL 38-</v>
      </c>
      <c r="C267" t="str">
        <f t="shared" si="26"/>
        <v>4</v>
      </c>
      <c r="D267">
        <v>14</v>
      </c>
      <c r="E267" t="str">
        <f>"652"</f>
        <v>652</v>
      </c>
      <c r="F267" t="str">
        <f t="shared" si="29"/>
        <v>0000</v>
      </c>
    </row>
    <row r="268" spans="1:6">
      <c r="A268" t="str">
        <f>"T798-2"</f>
        <v>T798-2</v>
      </c>
      <c r="B268" t="str">
        <f>"VIA DEGLI ARTIGIANI VICINO AL 96-"</f>
        <v>VIA DEGLI ARTIGIANI VICINO AL 96-</v>
      </c>
      <c r="C268" t="str">
        <f t="shared" si="26"/>
        <v>4</v>
      </c>
      <c r="D268">
        <v>14</v>
      </c>
      <c r="E268" t="str">
        <f>"623"</f>
        <v>623</v>
      </c>
      <c r="F268" t="str">
        <f t="shared" si="29"/>
        <v>0000</v>
      </c>
    </row>
    <row r="269" spans="1:6">
      <c r="A269" t="str">
        <f>"T798-3"</f>
        <v>T798-3</v>
      </c>
      <c r="B269" t="str">
        <f>"VIA DEGLI ARTIGIANI VICINO AL 96-"</f>
        <v>VIA DEGLI ARTIGIANI VICINO AL 96-</v>
      </c>
      <c r="C269" t="str">
        <f t="shared" si="26"/>
        <v>4</v>
      </c>
      <c r="D269">
        <v>14</v>
      </c>
      <c r="E269" t="str">
        <f>"625"</f>
        <v>625</v>
      </c>
      <c r="F269" t="str">
        <f t="shared" si="29"/>
        <v>0000</v>
      </c>
    </row>
    <row r="270" spans="1:6">
      <c r="A270" t="str">
        <f>"T798-8"</f>
        <v>T798-8</v>
      </c>
      <c r="B270" t="str">
        <f>"VIA DEGLI ARTIGIANI VICINO AL 96-"</f>
        <v>VIA DEGLI ARTIGIANI VICINO AL 96-</v>
      </c>
      <c r="C270" t="str">
        <f t="shared" si="26"/>
        <v>4</v>
      </c>
      <c r="D270">
        <v>14</v>
      </c>
      <c r="E270" t="str">
        <f>"520"</f>
        <v>520</v>
      </c>
      <c r="F270" t="str">
        <f t="shared" si="29"/>
        <v>0000</v>
      </c>
    </row>
    <row r="271" spans="1:6">
      <c r="A271" t="str">
        <f>"T798-9"</f>
        <v>T798-9</v>
      </c>
      <c r="B271" t="str">
        <f>"VIA DEGLI ARTIGIANI VICINO AL 96-"</f>
        <v>VIA DEGLI ARTIGIANI VICINO AL 96-</v>
      </c>
      <c r="C271" t="str">
        <f t="shared" si="26"/>
        <v>4</v>
      </c>
      <c r="D271">
        <v>14</v>
      </c>
      <c r="E271" t="str">
        <f>"5000"</f>
        <v>5000</v>
      </c>
      <c r="F271" t="str">
        <f t="shared" si="29"/>
        <v>0000</v>
      </c>
    </row>
    <row r="272" spans="1:6">
      <c r="A272" t="str">
        <f>"T799-1"</f>
        <v>T799-1</v>
      </c>
      <c r="B272" t="str">
        <f t="shared" ref="B272:B279" si="30">"VIA ALBISOLA VICINO AL 21-"</f>
        <v>VIA ALBISOLA VICINO AL 21-</v>
      </c>
      <c r="C272" t="str">
        <f t="shared" si="26"/>
        <v>4</v>
      </c>
      <c r="D272">
        <v>14</v>
      </c>
      <c r="E272" t="str">
        <f>"5000"</f>
        <v>5000</v>
      </c>
      <c r="F272" t="str">
        <f t="shared" si="29"/>
        <v>0000</v>
      </c>
    </row>
    <row r="273" spans="1:6">
      <c r="A273" t="str">
        <f>"T799-4"</f>
        <v>T799-4</v>
      </c>
      <c r="B273" t="str">
        <f t="shared" si="30"/>
        <v>VIA ALBISOLA VICINO AL 21-</v>
      </c>
      <c r="C273" t="str">
        <f>"1"</f>
        <v>1</v>
      </c>
      <c r="D273">
        <v>10</v>
      </c>
      <c r="E273" t="str">
        <f>"99999"</f>
        <v>99999</v>
      </c>
      <c r="F273" t="str">
        <f t="shared" si="29"/>
        <v>0000</v>
      </c>
    </row>
    <row r="274" spans="1:6">
      <c r="A274" t="str">
        <f>"T799-5"</f>
        <v>T799-5</v>
      </c>
      <c r="B274" t="str">
        <f t="shared" si="30"/>
        <v>VIA ALBISOLA VICINO AL 21-</v>
      </c>
      <c r="C274" t="str">
        <f>"1"</f>
        <v>1</v>
      </c>
      <c r="D274">
        <v>10</v>
      </c>
      <c r="E274" t="str">
        <f>"99999"</f>
        <v>99999</v>
      </c>
      <c r="F274" t="str">
        <f t="shared" si="29"/>
        <v>0000</v>
      </c>
    </row>
    <row r="275" spans="1:6">
      <c r="A275" t="str">
        <f>"T799-7"</f>
        <v>T799-7</v>
      </c>
      <c r="B275" t="str">
        <f t="shared" si="30"/>
        <v>VIA ALBISOLA VICINO AL 21-</v>
      </c>
      <c r="C275" t="str">
        <f t="shared" ref="C275:C287" si="31">"4"</f>
        <v>4</v>
      </c>
      <c r="D275">
        <v>14</v>
      </c>
      <c r="E275" t="str">
        <f>"688"</f>
        <v>688</v>
      </c>
      <c r="F275" t="str">
        <f t="shared" si="29"/>
        <v>0000</v>
      </c>
    </row>
    <row r="276" spans="1:6">
      <c r="A276" t="str">
        <f>"T799-8"</f>
        <v>T799-8</v>
      </c>
      <c r="B276" t="str">
        <f t="shared" si="30"/>
        <v>VIA ALBISOLA VICINO AL 21-</v>
      </c>
      <c r="C276" t="str">
        <f t="shared" si="31"/>
        <v>4</v>
      </c>
      <c r="D276">
        <v>14</v>
      </c>
      <c r="E276" t="str">
        <f>"618"</f>
        <v>618</v>
      </c>
      <c r="F276" t="str">
        <f t="shared" si="29"/>
        <v>0000</v>
      </c>
    </row>
    <row r="277" spans="1:6">
      <c r="A277" t="str">
        <f>"T799-9"</f>
        <v>T799-9</v>
      </c>
      <c r="B277" t="str">
        <f t="shared" si="30"/>
        <v>VIA ALBISOLA VICINO AL 21-</v>
      </c>
      <c r="C277" t="str">
        <f t="shared" si="31"/>
        <v>4</v>
      </c>
      <c r="D277">
        <v>14</v>
      </c>
      <c r="E277" t="str">
        <f>"619"</f>
        <v>619</v>
      </c>
      <c r="F277" t="str">
        <f t="shared" si="29"/>
        <v>0000</v>
      </c>
    </row>
    <row r="278" spans="1:6">
      <c r="A278" t="str">
        <f>"T799-10"</f>
        <v>T799-10</v>
      </c>
      <c r="B278" t="str">
        <f t="shared" si="30"/>
        <v>VIA ALBISOLA VICINO AL 21-</v>
      </c>
      <c r="C278" t="str">
        <f t="shared" si="31"/>
        <v>4</v>
      </c>
      <c r="D278">
        <v>14</v>
      </c>
      <c r="E278" t="str">
        <f>"691"</f>
        <v>691</v>
      </c>
      <c r="F278" t="str">
        <f t="shared" si="29"/>
        <v>0000</v>
      </c>
    </row>
    <row r="279" spans="1:6">
      <c r="A279" t="str">
        <f>"T799-11"</f>
        <v>T799-11</v>
      </c>
      <c r="B279" t="str">
        <f t="shared" si="30"/>
        <v>VIA ALBISOLA VICINO AL 21-</v>
      </c>
      <c r="C279" t="str">
        <f t="shared" si="31"/>
        <v>4</v>
      </c>
      <c r="D279">
        <v>14</v>
      </c>
      <c r="E279" t="str">
        <f>"5000"</f>
        <v>5000</v>
      </c>
      <c r="F279" t="str">
        <f t="shared" si="29"/>
        <v>0000</v>
      </c>
    </row>
    <row r="280" spans="1:6">
      <c r="A280" t="str">
        <f>"T811-1"</f>
        <v>T811-1</v>
      </c>
      <c r="B280" t="str">
        <f t="shared" ref="B280:B285" si="32">"PASSO DEI BARABINI VICINO AL 16-"</f>
        <v>PASSO DEI BARABINI VICINO AL 16-</v>
      </c>
      <c r="C280" t="str">
        <f t="shared" si="31"/>
        <v>4</v>
      </c>
      <c r="D280">
        <v>16</v>
      </c>
      <c r="E280" t="str">
        <f>"286"</f>
        <v>286</v>
      </c>
      <c r="F280" t="str">
        <f t="shared" si="29"/>
        <v>0000</v>
      </c>
    </row>
    <row r="281" spans="1:6">
      <c r="A281" t="str">
        <f>"T811-2"</f>
        <v>T811-2</v>
      </c>
      <c r="B281" t="str">
        <f t="shared" si="32"/>
        <v>PASSO DEI BARABINI VICINO AL 16-</v>
      </c>
      <c r="C281" t="str">
        <f t="shared" si="31"/>
        <v>4</v>
      </c>
      <c r="D281">
        <v>16</v>
      </c>
      <c r="E281" t="str">
        <f>"287"</f>
        <v>287</v>
      </c>
      <c r="F281" t="str">
        <f t="shared" si="29"/>
        <v>0000</v>
      </c>
    </row>
    <row r="282" spans="1:6">
      <c r="A282" t="str">
        <f>"T811-3"</f>
        <v>T811-3</v>
      </c>
      <c r="B282" t="str">
        <f t="shared" si="32"/>
        <v>PASSO DEI BARABINI VICINO AL 16-</v>
      </c>
      <c r="C282" t="str">
        <f t="shared" si="31"/>
        <v>4</v>
      </c>
      <c r="D282">
        <v>16</v>
      </c>
      <c r="E282" t="str">
        <f>"607"</f>
        <v>607</v>
      </c>
      <c r="F282" t="str">
        <f t="shared" si="29"/>
        <v>0000</v>
      </c>
    </row>
    <row r="283" spans="1:6">
      <c r="A283" t="str">
        <f>"T811-4"</f>
        <v>T811-4</v>
      </c>
      <c r="B283" t="str">
        <f t="shared" si="32"/>
        <v>PASSO DEI BARABINI VICINO AL 16-</v>
      </c>
      <c r="C283" t="str">
        <f t="shared" si="31"/>
        <v>4</v>
      </c>
      <c r="D283">
        <v>16</v>
      </c>
      <c r="E283" t="str">
        <f>"608"</f>
        <v>608</v>
      </c>
      <c r="F283" t="str">
        <f t="shared" si="29"/>
        <v>0000</v>
      </c>
    </row>
    <row r="284" spans="1:6">
      <c r="A284" t="str">
        <f>"T811-5"</f>
        <v>T811-5</v>
      </c>
      <c r="B284" t="str">
        <f t="shared" si="32"/>
        <v>PASSO DEI BARABINI VICINO AL 16-</v>
      </c>
      <c r="C284" t="str">
        <f t="shared" si="31"/>
        <v>4</v>
      </c>
      <c r="D284">
        <v>16</v>
      </c>
      <c r="E284" t="str">
        <f>"289"</f>
        <v>289</v>
      </c>
      <c r="F284" t="str">
        <f t="shared" si="29"/>
        <v>0000</v>
      </c>
    </row>
    <row r="285" spans="1:6">
      <c r="A285" t="str">
        <f>"T811-6"</f>
        <v>T811-6</v>
      </c>
      <c r="B285" t="str">
        <f t="shared" si="32"/>
        <v>PASSO DEI BARABINI VICINO AL 16-</v>
      </c>
      <c r="C285" t="str">
        <f t="shared" si="31"/>
        <v>4</v>
      </c>
      <c r="D285">
        <v>16</v>
      </c>
      <c r="E285" t="str">
        <f>"290"</f>
        <v>290</v>
      </c>
      <c r="F285" t="str">
        <f t="shared" si="29"/>
        <v>0000</v>
      </c>
    </row>
    <row r="286" spans="1:6">
      <c r="A286" t="str">
        <f>"T821-1"</f>
        <v>T821-1</v>
      </c>
      <c r="B286" t="str">
        <f>"VIA NATALE GALLINO  53-"</f>
        <v>VIA NATALE GALLINO  53-</v>
      </c>
      <c r="C286" t="str">
        <f t="shared" si="31"/>
        <v>4</v>
      </c>
      <c r="D286">
        <v>2</v>
      </c>
      <c r="E286" t="str">
        <f>"520"</f>
        <v>520</v>
      </c>
      <c r="F286" t="str">
        <f t="shared" si="29"/>
        <v>0000</v>
      </c>
    </row>
    <row r="287" spans="1:6">
      <c r="A287" t="str">
        <f>"T824-1"</f>
        <v>T824-1</v>
      </c>
      <c r="B287" t="str">
        <f>"PASSO TORBELLA VICINO AL 12B-"</f>
        <v>PASSO TORBELLA VICINO AL 12B-</v>
      </c>
      <c r="C287" t="str">
        <f t="shared" si="31"/>
        <v>4</v>
      </c>
      <c r="D287">
        <v>36</v>
      </c>
      <c r="E287" t="str">
        <f>"99999"</f>
        <v>99999</v>
      </c>
      <c r="F287" t="str">
        <f t="shared" si="29"/>
        <v>0000</v>
      </c>
    </row>
    <row r="288" spans="1:6">
      <c r="A288" t="str">
        <f>"T825-1"</f>
        <v>T825-1</v>
      </c>
      <c r="B288" t="str">
        <f>"VIA DELLA PIETRA VICINO AL 2-"</f>
        <v>VIA DELLA PIETRA VICINO AL 2-</v>
      </c>
      <c r="C288" t="str">
        <f>"RIV"</f>
        <v>RIV</v>
      </c>
      <c r="D288">
        <v>36</v>
      </c>
      <c r="E288" t="str">
        <f>"1591"</f>
        <v>1591</v>
      </c>
      <c r="F288" t="str">
        <f>"2"</f>
        <v>2</v>
      </c>
    </row>
    <row r="289" spans="1:6">
      <c r="A289" t="str">
        <f>"T825-2"</f>
        <v>T825-2</v>
      </c>
      <c r="B289" t="str">
        <f>"VIA DELLA PIETRA VICINO AL 2-"</f>
        <v>VIA DELLA PIETRA VICINO AL 2-</v>
      </c>
      <c r="C289" t="str">
        <f>"4"</f>
        <v>4</v>
      </c>
      <c r="D289">
        <v>36</v>
      </c>
      <c r="E289" t="str">
        <f>"1124"</f>
        <v>1124</v>
      </c>
      <c r="F289" t="str">
        <f t="shared" ref="F289:F352" si="33">"0000"</f>
        <v>0000</v>
      </c>
    </row>
    <row r="290" spans="1:6">
      <c r="A290" t="str">
        <f>"T825-3"</f>
        <v>T825-3</v>
      </c>
      <c r="B290" t="str">
        <f>"VIA DELLA PIETRA VICINO AL 2-"</f>
        <v>VIA DELLA PIETRA VICINO AL 2-</v>
      </c>
      <c r="C290" t="str">
        <f>"4"</f>
        <v>4</v>
      </c>
      <c r="D290">
        <v>36</v>
      </c>
      <c r="E290" t="str">
        <f>"1125"</f>
        <v>1125</v>
      </c>
      <c r="F290" t="str">
        <f t="shared" si="33"/>
        <v>0000</v>
      </c>
    </row>
    <row r="291" spans="1:6">
      <c r="A291" t="str">
        <f>"T825-4"</f>
        <v>T825-4</v>
      </c>
      <c r="B291" t="str">
        <f>"VIA DELLA PIETRA VICINO AL 2-"</f>
        <v>VIA DELLA PIETRA VICINO AL 2-</v>
      </c>
      <c r="C291" t="str">
        <f>"4"</f>
        <v>4</v>
      </c>
      <c r="D291">
        <v>36</v>
      </c>
      <c r="E291" t="str">
        <f>"1129"</f>
        <v>1129</v>
      </c>
      <c r="F291" t="str">
        <f t="shared" si="33"/>
        <v>0000</v>
      </c>
    </row>
    <row r="292" spans="1:6">
      <c r="A292" t="str">
        <f>"T827-5"</f>
        <v>T827-5</v>
      </c>
      <c r="B292" t="str">
        <f>"GIARDINI U.N.I.C.E.F.  1-"</f>
        <v>GIARDINI U.N.I.C.E.F.  1-</v>
      </c>
      <c r="C292" t="str">
        <f>"3"</f>
        <v>3</v>
      </c>
      <c r="D292">
        <v>66</v>
      </c>
      <c r="E292" t="str">
        <f>"1093"</f>
        <v>1093</v>
      </c>
      <c r="F292" t="str">
        <f t="shared" si="33"/>
        <v>0000</v>
      </c>
    </row>
    <row r="293" spans="1:6">
      <c r="A293" t="str">
        <f>"T827-6"</f>
        <v>T827-6</v>
      </c>
      <c r="B293" t="str">
        <f>"GIARDINI U.N.I.C.E.F.  1-"</f>
        <v>GIARDINI U.N.I.C.E.F.  1-</v>
      </c>
      <c r="C293" t="str">
        <f>"3"</f>
        <v>3</v>
      </c>
      <c r="D293">
        <v>66</v>
      </c>
      <c r="E293" t="str">
        <f>"1087"</f>
        <v>1087</v>
      </c>
      <c r="F293" t="str">
        <f t="shared" si="33"/>
        <v>0000</v>
      </c>
    </row>
    <row r="294" spans="1:6">
      <c r="A294" t="str">
        <f>"T829-1"</f>
        <v>T829-1</v>
      </c>
      <c r="B294" t="str">
        <f>"VIA DEI MOLINUSSI  60-"</f>
        <v>VIA DEI MOLINUSSI  60-</v>
      </c>
      <c r="C294" t="str">
        <f>"3"</f>
        <v>3</v>
      </c>
      <c r="D294">
        <v>68</v>
      </c>
      <c r="E294" t="str">
        <f>"445"</f>
        <v>445</v>
      </c>
      <c r="F294" t="str">
        <f t="shared" si="33"/>
        <v>0000</v>
      </c>
    </row>
    <row r="295" spans="1:6">
      <c r="A295" t="str">
        <f>"T829-2"</f>
        <v>T829-2</v>
      </c>
      <c r="B295" t="str">
        <f>"VIA DEI MOLINUSSI  60-"</f>
        <v>VIA DEI MOLINUSSI  60-</v>
      </c>
      <c r="C295" t="str">
        <f>"3"</f>
        <v>3</v>
      </c>
      <c r="D295">
        <v>68</v>
      </c>
      <c r="E295" t="str">
        <f>"444"</f>
        <v>444</v>
      </c>
      <c r="F295" t="str">
        <f t="shared" si="33"/>
        <v>0000</v>
      </c>
    </row>
    <row r="296" spans="1:6">
      <c r="A296" t="str">
        <f>"T829-3"</f>
        <v>T829-3</v>
      </c>
      <c r="B296" t="str">
        <f>"VIA DEI MOLINUSSI  60-"</f>
        <v>VIA DEI MOLINUSSI  60-</v>
      </c>
      <c r="C296" t="str">
        <f>"3"</f>
        <v>3</v>
      </c>
      <c r="D296">
        <v>68</v>
      </c>
      <c r="E296" t="str">
        <f>"462"</f>
        <v>462</v>
      </c>
      <c r="F296" t="str">
        <f t="shared" si="33"/>
        <v>0000</v>
      </c>
    </row>
    <row r="297" spans="1:6">
      <c r="A297" t="str">
        <f>"T830-1"</f>
        <v>T830-1</v>
      </c>
      <c r="B297" t="str">
        <f>"VIA CONI ZUGNA VICINO AL 2B-"</f>
        <v>VIA CONI ZUGNA VICINO AL 2B-</v>
      </c>
      <c r="C297" t="str">
        <f t="shared" ref="C297:C315" si="34">"4"</f>
        <v>4</v>
      </c>
      <c r="D297">
        <v>4</v>
      </c>
      <c r="E297" t="str">
        <f>"1223"</f>
        <v>1223</v>
      </c>
      <c r="F297" t="str">
        <f t="shared" si="33"/>
        <v>0000</v>
      </c>
    </row>
    <row r="298" spans="1:6">
      <c r="A298" t="str">
        <f>"T831-1"</f>
        <v>T831-1</v>
      </c>
      <c r="B298" t="str">
        <f>"VIA CONI ZUGNA VICINO AL 2B-"</f>
        <v>VIA CONI ZUGNA VICINO AL 2B-</v>
      </c>
      <c r="C298" t="str">
        <f t="shared" si="34"/>
        <v>4</v>
      </c>
      <c r="D298">
        <v>4</v>
      </c>
      <c r="E298" t="str">
        <f>"134"</f>
        <v>134</v>
      </c>
      <c r="F298" t="str">
        <f t="shared" si="33"/>
        <v>0000</v>
      </c>
    </row>
    <row r="299" spans="1:6">
      <c r="A299" t="str">
        <f>"T831-2"</f>
        <v>T831-2</v>
      </c>
      <c r="B299" t="str">
        <f>"VIA CONI ZUGNA VICINO AL 2B-"</f>
        <v>VIA CONI ZUGNA VICINO AL 2B-</v>
      </c>
      <c r="C299" t="str">
        <f t="shared" si="34"/>
        <v>4</v>
      </c>
      <c r="D299">
        <v>4</v>
      </c>
      <c r="E299" t="str">
        <f>"133"</f>
        <v>133</v>
      </c>
      <c r="F299" t="str">
        <f t="shared" si="33"/>
        <v>0000</v>
      </c>
    </row>
    <row r="300" spans="1:6">
      <c r="A300" t="str">
        <f>"T832-1"</f>
        <v>T832-1</v>
      </c>
      <c r="B300" t="str">
        <f>"VIA CONI ZUGNA VICINO AL 2B-"</f>
        <v>VIA CONI ZUGNA VICINO AL 2B-</v>
      </c>
      <c r="C300" t="str">
        <f t="shared" si="34"/>
        <v>4</v>
      </c>
      <c r="D300">
        <v>4</v>
      </c>
      <c r="E300" t="str">
        <f>"134"</f>
        <v>134</v>
      </c>
      <c r="F300" t="str">
        <f t="shared" si="33"/>
        <v>0000</v>
      </c>
    </row>
    <row r="301" spans="1:6">
      <c r="A301" t="str">
        <f>"T832-2"</f>
        <v>T832-2</v>
      </c>
      <c r="B301" t="str">
        <f>"VIA CONI ZUGNA VICINO AL 2B-"</f>
        <v>VIA CONI ZUGNA VICINO AL 2B-</v>
      </c>
      <c r="C301" t="str">
        <f t="shared" si="34"/>
        <v>4</v>
      </c>
      <c r="D301">
        <v>4</v>
      </c>
      <c r="E301" t="str">
        <f>"133"</f>
        <v>133</v>
      </c>
      <c r="F301" t="str">
        <f t="shared" si="33"/>
        <v>0000</v>
      </c>
    </row>
    <row r="302" spans="1:6">
      <c r="A302" t="str">
        <f>"T834-1"</f>
        <v>T834-1</v>
      </c>
      <c r="B302" t="str">
        <f>"VIA DA SERRO A MOREGO VICINO AL 3-"</f>
        <v>VIA DA SERRO A MOREGO VICINO AL 3-</v>
      </c>
      <c r="C302" t="str">
        <f t="shared" si="34"/>
        <v>4</v>
      </c>
      <c r="D302">
        <v>9</v>
      </c>
      <c r="E302" t="str">
        <f>"400"</f>
        <v>400</v>
      </c>
      <c r="F302" t="str">
        <f t="shared" si="33"/>
        <v>0000</v>
      </c>
    </row>
    <row r="303" spans="1:6">
      <c r="A303" t="str">
        <f>"T835-1"</f>
        <v>T835-1</v>
      </c>
      <c r="B303" t="str">
        <f>"VIA DA SERRO A MOREGO VICINO AL 25-"</f>
        <v>VIA DA SERRO A MOREGO VICINO AL 25-</v>
      </c>
      <c r="C303" t="str">
        <f t="shared" si="34"/>
        <v>4</v>
      </c>
      <c r="D303">
        <v>9</v>
      </c>
      <c r="E303" t="str">
        <f>"151"</f>
        <v>151</v>
      </c>
      <c r="F303" t="str">
        <f t="shared" si="33"/>
        <v>0000</v>
      </c>
    </row>
    <row r="304" spans="1:6">
      <c r="A304" t="str">
        <f>"T836-1"</f>
        <v>T836-1</v>
      </c>
      <c r="B304" t="str">
        <f>"VIA DA SERRO A MOREGO VICINO AL 25-"</f>
        <v>VIA DA SERRO A MOREGO VICINO AL 25-</v>
      </c>
      <c r="C304" t="str">
        <f t="shared" si="34"/>
        <v>4</v>
      </c>
      <c r="D304">
        <v>9</v>
      </c>
      <c r="E304" t="str">
        <f>"151"</f>
        <v>151</v>
      </c>
      <c r="F304" t="str">
        <f t="shared" si="33"/>
        <v>0000</v>
      </c>
    </row>
    <row r="305" spans="1:6">
      <c r="A305" t="str">
        <f>"T837-1"</f>
        <v>T837-1</v>
      </c>
      <c r="B305" t="str">
        <f>"VIA VIRGILIO BROCCHI VICINO AL 40-"</f>
        <v>VIA VIRGILIO BROCCHI VICINO AL 40-</v>
      </c>
      <c r="C305" t="str">
        <f t="shared" si="34"/>
        <v>4</v>
      </c>
      <c r="D305">
        <v>23</v>
      </c>
      <c r="E305" t="str">
        <f>"71"</f>
        <v>71</v>
      </c>
      <c r="F305" t="str">
        <f t="shared" si="33"/>
        <v>0000</v>
      </c>
    </row>
    <row r="306" spans="1:6">
      <c r="A306" t="str">
        <f>"T837-2"</f>
        <v>T837-2</v>
      </c>
      <c r="B306" t="str">
        <f>"VIA VIRGILIO BROCCHI VICINO AL 40-"</f>
        <v>VIA VIRGILIO BROCCHI VICINO AL 40-</v>
      </c>
      <c r="C306" t="str">
        <f t="shared" si="34"/>
        <v>4</v>
      </c>
      <c r="D306">
        <v>23</v>
      </c>
      <c r="E306" t="str">
        <f>"125"</f>
        <v>125</v>
      </c>
      <c r="F306" t="str">
        <f t="shared" si="33"/>
        <v>0000</v>
      </c>
    </row>
    <row r="307" spans="1:6">
      <c r="A307" t="str">
        <f>"T837-3"</f>
        <v>T837-3</v>
      </c>
      <c r="B307" t="str">
        <f>"VIA VIRGILIO BROCCHI VICINO AL 40-"</f>
        <v>VIA VIRGILIO BROCCHI VICINO AL 40-</v>
      </c>
      <c r="C307" t="str">
        <f t="shared" si="34"/>
        <v>4</v>
      </c>
      <c r="D307">
        <v>23</v>
      </c>
      <c r="E307" t="str">
        <f>"131"</f>
        <v>131</v>
      </c>
      <c r="F307" t="str">
        <f t="shared" si="33"/>
        <v>0000</v>
      </c>
    </row>
    <row r="308" spans="1:6">
      <c r="A308" t="str">
        <f>"T839-1"</f>
        <v>T839-1</v>
      </c>
      <c r="B308" t="str">
        <f>"VIA PORCILE VICINO AL 4-"</f>
        <v>VIA PORCILE VICINO AL 4-</v>
      </c>
      <c r="C308" t="str">
        <f t="shared" si="34"/>
        <v>4</v>
      </c>
      <c r="D308">
        <v>3</v>
      </c>
      <c r="E308" t="str">
        <f>"124"</f>
        <v>124</v>
      </c>
      <c r="F308" t="str">
        <f t="shared" si="33"/>
        <v>0000</v>
      </c>
    </row>
    <row r="309" spans="1:6">
      <c r="A309" t="str">
        <f>"T840-1"</f>
        <v>T840-1</v>
      </c>
      <c r="B309" t="str">
        <f>"VIA BENEDETTO DA CESINO VICINO AL 1-"</f>
        <v>VIA BENEDETTO DA CESINO VICINO AL 1-</v>
      </c>
      <c r="C309" t="str">
        <f t="shared" si="34"/>
        <v>4</v>
      </c>
      <c r="D309">
        <v>3</v>
      </c>
      <c r="E309" t="str">
        <f>"124"</f>
        <v>124</v>
      </c>
      <c r="F309" t="str">
        <f t="shared" si="33"/>
        <v>0000</v>
      </c>
    </row>
    <row r="310" spans="1:6">
      <c r="A310" t="str">
        <f>"T841-1"</f>
        <v>T841-1</v>
      </c>
      <c r="B310" t="str">
        <f>"VIA MANSUETO VICINO AL 31-"</f>
        <v>VIA MANSUETO VICINO AL 31-</v>
      </c>
      <c r="C310" t="str">
        <f t="shared" si="34"/>
        <v>4</v>
      </c>
      <c r="D310">
        <v>36</v>
      </c>
      <c r="E310" t="str">
        <f>"254"</f>
        <v>254</v>
      </c>
      <c r="F310" t="str">
        <f t="shared" si="33"/>
        <v>0000</v>
      </c>
    </row>
    <row r="311" spans="1:6">
      <c r="A311" t="str">
        <f>"T841-2"</f>
        <v>T841-2</v>
      </c>
      <c r="B311" t="str">
        <f>"VIA MANSUETO VICINO AL 31-"</f>
        <v>VIA MANSUETO VICINO AL 31-</v>
      </c>
      <c r="C311" t="str">
        <f t="shared" si="34"/>
        <v>4</v>
      </c>
      <c r="D311">
        <v>36</v>
      </c>
      <c r="E311" t="str">
        <f>"769"</f>
        <v>769</v>
      </c>
      <c r="F311" t="str">
        <f t="shared" si="33"/>
        <v>0000</v>
      </c>
    </row>
    <row r="312" spans="1:6">
      <c r="A312" t="str">
        <f>"T842-1"</f>
        <v>T842-1</v>
      </c>
      <c r="B312" t="str">
        <f>"VIA SANT NS DELLA GUARDIA VICINO AL 29-"</f>
        <v>VIA SANT NS DELLA GUARDIA VICINO AL 29-</v>
      </c>
      <c r="C312" t="str">
        <f t="shared" si="34"/>
        <v>4</v>
      </c>
      <c r="D312">
        <v>14</v>
      </c>
      <c r="E312" t="str">
        <f>"388"</f>
        <v>388</v>
      </c>
      <c r="F312" t="str">
        <f t="shared" si="33"/>
        <v>0000</v>
      </c>
    </row>
    <row r="313" spans="1:6">
      <c r="A313" t="str">
        <f>"T842-2"</f>
        <v>T842-2</v>
      </c>
      <c r="B313" t="str">
        <f>"VIA SANT NS DELLA GUARDIA VICINO AL 29-"</f>
        <v>VIA SANT NS DELLA GUARDIA VICINO AL 29-</v>
      </c>
      <c r="C313" t="str">
        <f t="shared" si="34"/>
        <v>4</v>
      </c>
      <c r="D313">
        <v>14</v>
      </c>
      <c r="E313" t="str">
        <f>"410"</f>
        <v>410</v>
      </c>
      <c r="F313" t="str">
        <f t="shared" si="33"/>
        <v>0000</v>
      </c>
    </row>
    <row r="314" spans="1:6">
      <c r="A314" t="str">
        <f>"T843-1"</f>
        <v>T843-1</v>
      </c>
      <c r="B314" t="str">
        <f>"VIA SARDORELLA VICINO AL 2UR-"</f>
        <v>VIA SARDORELLA VICINO AL 2UR-</v>
      </c>
      <c r="C314" t="str">
        <f t="shared" si="34"/>
        <v>4</v>
      </c>
      <c r="D314">
        <v>20</v>
      </c>
      <c r="E314" t="str">
        <f>"732"</f>
        <v>732</v>
      </c>
      <c r="F314" t="str">
        <f t="shared" si="33"/>
        <v>0000</v>
      </c>
    </row>
    <row r="315" spans="1:6">
      <c r="A315" t="str">
        <f>"T844-1"</f>
        <v>T844-1</v>
      </c>
      <c r="B315" t="str">
        <f>"VIA GIROLAMO GASTALDI VICINO AL 27-"</f>
        <v>VIA GIROLAMO GASTALDI VICINO AL 27-</v>
      </c>
      <c r="C315" t="str">
        <f t="shared" si="34"/>
        <v>4</v>
      </c>
      <c r="D315">
        <v>6</v>
      </c>
      <c r="E315" t="str">
        <f>"593"</f>
        <v>593</v>
      </c>
      <c r="F315" t="str">
        <f t="shared" si="33"/>
        <v>0000</v>
      </c>
    </row>
    <row r="316" spans="1:6">
      <c r="A316" t="str">
        <f>"T845-1"</f>
        <v>T845-1</v>
      </c>
      <c r="B316" t="str">
        <f>"VIA SAN QUIRICO VICINO AL 2-"</f>
        <v>VIA SAN QUIRICO VICINO AL 2-</v>
      </c>
      <c r="C316" t="str">
        <f>"SQ"</f>
        <v>SQ</v>
      </c>
      <c r="D316">
        <v>9</v>
      </c>
      <c r="E316" t="str">
        <f>"1274"</f>
        <v>1274</v>
      </c>
      <c r="F316" t="str">
        <f t="shared" si="33"/>
        <v>0000</v>
      </c>
    </row>
    <row r="317" spans="1:6">
      <c r="A317" t="str">
        <f>"T845-1"</f>
        <v>T845-1</v>
      </c>
      <c r="B317" t="str">
        <f>"VIA SAN QUIRICO VICINO AL 2-"</f>
        <v>VIA SAN QUIRICO VICINO AL 2-</v>
      </c>
      <c r="C317" t="str">
        <f>"SQ"</f>
        <v>SQ</v>
      </c>
      <c r="D317">
        <v>9</v>
      </c>
      <c r="E317" t="str">
        <f>"1272"</f>
        <v>1272</v>
      </c>
      <c r="F317" t="str">
        <f t="shared" si="33"/>
        <v>0000</v>
      </c>
    </row>
    <row r="318" spans="1:6">
      <c r="A318" t="str">
        <f>"T845-1"</f>
        <v>T845-1</v>
      </c>
      <c r="B318" t="str">
        <f>"VIA SAN QUIRICO VICINO AL 2-"</f>
        <v>VIA SAN QUIRICO VICINO AL 2-</v>
      </c>
      <c r="C318" t="str">
        <f>"SQ"</f>
        <v>SQ</v>
      </c>
      <c r="D318">
        <v>9</v>
      </c>
      <c r="E318" t="str">
        <f>"1270"</f>
        <v>1270</v>
      </c>
      <c r="F318" t="str">
        <f t="shared" si="33"/>
        <v>0000</v>
      </c>
    </row>
    <row r="319" spans="1:6">
      <c r="A319" t="str">
        <f>"T845-1"</f>
        <v>T845-1</v>
      </c>
      <c r="B319" t="str">
        <f>"VIA SAN QUIRICO VICINO AL 2-"</f>
        <v>VIA SAN QUIRICO VICINO AL 2-</v>
      </c>
      <c r="C319" t="str">
        <f>"SQ"</f>
        <v>SQ</v>
      </c>
      <c r="D319">
        <v>9</v>
      </c>
      <c r="E319" t="str">
        <f>"1271"</f>
        <v>1271</v>
      </c>
      <c r="F319" t="str">
        <f t="shared" si="33"/>
        <v>0000</v>
      </c>
    </row>
    <row r="320" spans="1:6">
      <c r="A320" t="str">
        <f>"T845-1"</f>
        <v>T845-1</v>
      </c>
      <c r="B320" t="str">
        <f>"VIA SAN QUIRICO VICINO AL 2-"</f>
        <v>VIA SAN QUIRICO VICINO AL 2-</v>
      </c>
      <c r="C320" t="str">
        <f>"SQ"</f>
        <v>SQ</v>
      </c>
      <c r="D320">
        <v>9</v>
      </c>
      <c r="E320" t="str">
        <f>"1273"</f>
        <v>1273</v>
      </c>
      <c r="F320" t="str">
        <f t="shared" si="33"/>
        <v>0000</v>
      </c>
    </row>
    <row r="321" spans="1:6">
      <c r="A321" t="str">
        <f>"T846-1"</f>
        <v>T846-1</v>
      </c>
      <c r="B321" t="str">
        <f t="shared" ref="B321:B340" si="35">"VIA SAN QUIRICO VICINO AL 13-"</f>
        <v>VIA SAN QUIRICO VICINO AL 13-</v>
      </c>
      <c r="C321" t="str">
        <f t="shared" ref="C321:C352" si="36">"4"</f>
        <v>4</v>
      </c>
      <c r="D321">
        <v>9</v>
      </c>
      <c r="E321" t="str">
        <f>"266"</f>
        <v>266</v>
      </c>
      <c r="F321" t="str">
        <f t="shared" si="33"/>
        <v>0000</v>
      </c>
    </row>
    <row r="322" spans="1:6">
      <c r="A322" t="str">
        <f>"T846-2"</f>
        <v>T846-2</v>
      </c>
      <c r="B322" t="str">
        <f t="shared" si="35"/>
        <v>VIA SAN QUIRICO VICINO AL 13-</v>
      </c>
      <c r="C322" t="str">
        <f t="shared" si="36"/>
        <v>4</v>
      </c>
      <c r="D322">
        <v>9</v>
      </c>
      <c r="E322" t="str">
        <f>"286"</f>
        <v>286</v>
      </c>
      <c r="F322" t="str">
        <f t="shared" si="33"/>
        <v>0000</v>
      </c>
    </row>
    <row r="323" spans="1:6">
      <c r="A323" t="str">
        <f>"T846-3"</f>
        <v>T846-3</v>
      </c>
      <c r="B323" t="str">
        <f t="shared" si="35"/>
        <v>VIA SAN QUIRICO VICINO AL 13-</v>
      </c>
      <c r="C323" t="str">
        <f t="shared" si="36"/>
        <v>4</v>
      </c>
      <c r="D323">
        <v>9</v>
      </c>
      <c r="E323" t="str">
        <f>"287"</f>
        <v>287</v>
      </c>
      <c r="F323" t="str">
        <f t="shared" si="33"/>
        <v>0000</v>
      </c>
    </row>
    <row r="324" spans="1:6">
      <c r="A324" t="str">
        <f>"T846-4"</f>
        <v>T846-4</v>
      </c>
      <c r="B324" t="str">
        <f t="shared" si="35"/>
        <v>VIA SAN QUIRICO VICINO AL 13-</v>
      </c>
      <c r="C324" t="str">
        <f t="shared" si="36"/>
        <v>4</v>
      </c>
      <c r="D324">
        <v>9</v>
      </c>
      <c r="E324" t="str">
        <f>"653"</f>
        <v>653</v>
      </c>
      <c r="F324" t="str">
        <f t="shared" si="33"/>
        <v>0000</v>
      </c>
    </row>
    <row r="325" spans="1:6">
      <c r="A325" t="str">
        <f>"T846-5"</f>
        <v>T846-5</v>
      </c>
      <c r="B325" t="str">
        <f t="shared" si="35"/>
        <v>VIA SAN QUIRICO VICINO AL 13-</v>
      </c>
      <c r="C325" t="str">
        <f t="shared" si="36"/>
        <v>4</v>
      </c>
      <c r="D325">
        <v>9</v>
      </c>
      <c r="E325" t="str">
        <f>"653"</f>
        <v>653</v>
      </c>
      <c r="F325" t="str">
        <f t="shared" si="33"/>
        <v>0000</v>
      </c>
    </row>
    <row r="326" spans="1:6">
      <c r="A326" t="str">
        <f>"T846-6"</f>
        <v>T846-6</v>
      </c>
      <c r="B326" t="str">
        <f t="shared" si="35"/>
        <v>VIA SAN QUIRICO VICINO AL 13-</v>
      </c>
      <c r="C326" t="str">
        <f t="shared" si="36"/>
        <v>4</v>
      </c>
      <c r="D326">
        <v>9</v>
      </c>
      <c r="E326" t="str">
        <f>"655"</f>
        <v>655</v>
      </c>
      <c r="F326" t="str">
        <f t="shared" si="33"/>
        <v>0000</v>
      </c>
    </row>
    <row r="327" spans="1:6">
      <c r="A327" t="str">
        <f>"T846-7"</f>
        <v>T846-7</v>
      </c>
      <c r="B327" t="str">
        <f t="shared" si="35"/>
        <v>VIA SAN QUIRICO VICINO AL 13-</v>
      </c>
      <c r="C327" t="str">
        <f t="shared" si="36"/>
        <v>4</v>
      </c>
      <c r="D327">
        <v>9</v>
      </c>
      <c r="E327" t="str">
        <f>"655"</f>
        <v>655</v>
      </c>
      <c r="F327" t="str">
        <f t="shared" si="33"/>
        <v>0000</v>
      </c>
    </row>
    <row r="328" spans="1:6">
      <c r="A328" t="str">
        <f>"T846-8"</f>
        <v>T846-8</v>
      </c>
      <c r="B328" t="str">
        <f t="shared" si="35"/>
        <v>VIA SAN QUIRICO VICINO AL 13-</v>
      </c>
      <c r="C328" t="str">
        <f t="shared" si="36"/>
        <v>4</v>
      </c>
      <c r="D328">
        <v>9</v>
      </c>
      <c r="E328" t="str">
        <f>"656"</f>
        <v>656</v>
      </c>
      <c r="F328" t="str">
        <f t="shared" si="33"/>
        <v>0000</v>
      </c>
    </row>
    <row r="329" spans="1:6">
      <c r="A329" t="str">
        <f>"T846-9"</f>
        <v>T846-9</v>
      </c>
      <c r="B329" t="str">
        <f t="shared" si="35"/>
        <v>VIA SAN QUIRICO VICINO AL 13-</v>
      </c>
      <c r="C329" t="str">
        <f t="shared" si="36"/>
        <v>4</v>
      </c>
      <c r="D329">
        <v>9</v>
      </c>
      <c r="E329" t="str">
        <f>"656"</f>
        <v>656</v>
      </c>
      <c r="F329" t="str">
        <f t="shared" si="33"/>
        <v>0000</v>
      </c>
    </row>
    <row r="330" spans="1:6">
      <c r="A330" t="str">
        <f>"T846-10"</f>
        <v>T846-10</v>
      </c>
      <c r="B330" t="str">
        <f t="shared" si="35"/>
        <v>VIA SAN QUIRICO VICINO AL 13-</v>
      </c>
      <c r="C330" t="str">
        <f t="shared" si="36"/>
        <v>4</v>
      </c>
      <c r="D330">
        <v>9</v>
      </c>
      <c r="E330" t="str">
        <f>"656"</f>
        <v>656</v>
      </c>
      <c r="F330" t="str">
        <f t="shared" si="33"/>
        <v>0000</v>
      </c>
    </row>
    <row r="331" spans="1:6">
      <c r="A331" t="str">
        <f>"T846-11"</f>
        <v>T846-11</v>
      </c>
      <c r="B331" t="str">
        <f t="shared" si="35"/>
        <v>VIA SAN QUIRICO VICINO AL 13-</v>
      </c>
      <c r="C331" t="str">
        <f t="shared" si="36"/>
        <v>4</v>
      </c>
      <c r="D331">
        <v>9</v>
      </c>
      <c r="E331" t="str">
        <f>"665"</f>
        <v>665</v>
      </c>
      <c r="F331" t="str">
        <f t="shared" si="33"/>
        <v>0000</v>
      </c>
    </row>
    <row r="332" spans="1:6">
      <c r="A332" t="str">
        <f>"T846-12"</f>
        <v>T846-12</v>
      </c>
      <c r="B332" t="str">
        <f t="shared" si="35"/>
        <v>VIA SAN QUIRICO VICINO AL 13-</v>
      </c>
      <c r="C332" t="str">
        <f t="shared" si="36"/>
        <v>4</v>
      </c>
      <c r="D332">
        <v>17</v>
      </c>
      <c r="E332" t="str">
        <f>"3"</f>
        <v>3</v>
      </c>
      <c r="F332" t="str">
        <f t="shared" si="33"/>
        <v>0000</v>
      </c>
    </row>
    <row r="333" spans="1:6">
      <c r="A333" t="str">
        <f>"T846-13"</f>
        <v>T846-13</v>
      </c>
      <c r="B333" t="str">
        <f t="shared" si="35"/>
        <v>VIA SAN QUIRICO VICINO AL 13-</v>
      </c>
      <c r="C333" t="str">
        <f t="shared" si="36"/>
        <v>4</v>
      </c>
      <c r="D333">
        <v>17</v>
      </c>
      <c r="E333" t="str">
        <f>"4"</f>
        <v>4</v>
      </c>
      <c r="F333" t="str">
        <f t="shared" si="33"/>
        <v>0000</v>
      </c>
    </row>
    <row r="334" spans="1:6">
      <c r="A334" t="str">
        <f>"T846-14"</f>
        <v>T846-14</v>
      </c>
      <c r="B334" t="str">
        <f t="shared" si="35"/>
        <v>VIA SAN QUIRICO VICINO AL 13-</v>
      </c>
      <c r="C334" t="str">
        <f t="shared" si="36"/>
        <v>4</v>
      </c>
      <c r="D334">
        <v>9</v>
      </c>
      <c r="E334" t="str">
        <f>"707"</f>
        <v>707</v>
      </c>
      <c r="F334" t="str">
        <f t="shared" si="33"/>
        <v>0000</v>
      </c>
    </row>
    <row r="335" spans="1:6">
      <c r="A335" t="str">
        <f>"T846-15"</f>
        <v>T846-15</v>
      </c>
      <c r="B335" t="str">
        <f t="shared" si="35"/>
        <v>VIA SAN QUIRICO VICINO AL 13-</v>
      </c>
      <c r="C335" t="str">
        <f t="shared" si="36"/>
        <v>4</v>
      </c>
      <c r="D335">
        <v>9</v>
      </c>
      <c r="E335" t="str">
        <f>"709"</f>
        <v>709</v>
      </c>
      <c r="F335" t="str">
        <f t="shared" si="33"/>
        <v>0000</v>
      </c>
    </row>
    <row r="336" spans="1:6">
      <c r="A336" t="str">
        <f>"T846-16"</f>
        <v>T846-16</v>
      </c>
      <c r="B336" t="str">
        <f t="shared" si="35"/>
        <v>VIA SAN QUIRICO VICINO AL 13-</v>
      </c>
      <c r="C336" t="str">
        <f t="shared" si="36"/>
        <v>4</v>
      </c>
      <c r="D336">
        <v>9</v>
      </c>
      <c r="E336" t="str">
        <f>"692"</f>
        <v>692</v>
      </c>
      <c r="F336" t="str">
        <f t="shared" si="33"/>
        <v>0000</v>
      </c>
    </row>
    <row r="337" spans="1:6">
      <c r="A337" t="str">
        <f>"T846-17"</f>
        <v>T846-17</v>
      </c>
      <c r="B337" t="str">
        <f t="shared" si="35"/>
        <v>VIA SAN QUIRICO VICINO AL 13-</v>
      </c>
      <c r="C337" t="str">
        <f t="shared" si="36"/>
        <v>4</v>
      </c>
      <c r="D337">
        <v>9</v>
      </c>
      <c r="E337" t="str">
        <f>"693"</f>
        <v>693</v>
      </c>
      <c r="F337" t="str">
        <f t="shared" si="33"/>
        <v>0000</v>
      </c>
    </row>
    <row r="338" spans="1:6">
      <c r="A338" t="str">
        <f>"T846-18"</f>
        <v>T846-18</v>
      </c>
      <c r="B338" t="str">
        <f t="shared" si="35"/>
        <v>VIA SAN QUIRICO VICINO AL 13-</v>
      </c>
      <c r="C338" t="str">
        <f t="shared" si="36"/>
        <v>4</v>
      </c>
      <c r="D338">
        <v>9</v>
      </c>
      <c r="E338" t="str">
        <f>"699"</f>
        <v>699</v>
      </c>
      <c r="F338" t="str">
        <f t="shared" si="33"/>
        <v>0000</v>
      </c>
    </row>
    <row r="339" spans="1:6">
      <c r="A339" t="str">
        <f>"T846-19"</f>
        <v>T846-19</v>
      </c>
      <c r="B339" t="str">
        <f t="shared" si="35"/>
        <v>VIA SAN QUIRICO VICINO AL 13-</v>
      </c>
      <c r="C339" t="str">
        <f t="shared" si="36"/>
        <v>4</v>
      </c>
      <c r="D339">
        <v>9</v>
      </c>
      <c r="E339" t="str">
        <f>"700"</f>
        <v>700</v>
      </c>
      <c r="F339" t="str">
        <f t="shared" si="33"/>
        <v>0000</v>
      </c>
    </row>
    <row r="340" spans="1:6">
      <c r="A340" t="str">
        <f>"T846-20"</f>
        <v>T846-20</v>
      </c>
      <c r="B340" t="str">
        <f t="shared" si="35"/>
        <v>VIA SAN QUIRICO VICINO AL 13-</v>
      </c>
      <c r="C340" t="str">
        <f t="shared" si="36"/>
        <v>4</v>
      </c>
      <c r="D340">
        <v>9</v>
      </c>
      <c r="E340" t="str">
        <f>"690"</f>
        <v>690</v>
      </c>
      <c r="F340" t="str">
        <f t="shared" si="33"/>
        <v>0000</v>
      </c>
    </row>
    <row r="341" spans="1:6">
      <c r="A341" t="str">
        <f>"T847-1"</f>
        <v>T847-1</v>
      </c>
      <c r="B341" t="str">
        <f t="shared" ref="B341:B346" si="37">"VIA GIACOMO BRUZZO VICINO AL 17-"</f>
        <v>VIA GIACOMO BRUZZO VICINO AL 17-</v>
      </c>
      <c r="C341" t="str">
        <f t="shared" si="36"/>
        <v>4</v>
      </c>
      <c r="D341">
        <v>17</v>
      </c>
      <c r="E341" t="str">
        <f>"3"</f>
        <v>3</v>
      </c>
      <c r="F341" t="str">
        <f t="shared" si="33"/>
        <v>0000</v>
      </c>
    </row>
    <row r="342" spans="1:6">
      <c r="A342" t="str">
        <f>"T847-2"</f>
        <v>T847-2</v>
      </c>
      <c r="B342" t="str">
        <f t="shared" si="37"/>
        <v>VIA GIACOMO BRUZZO VICINO AL 17-</v>
      </c>
      <c r="C342" t="str">
        <f t="shared" si="36"/>
        <v>4</v>
      </c>
      <c r="D342">
        <v>17</v>
      </c>
      <c r="E342" t="str">
        <f>"4"</f>
        <v>4</v>
      </c>
      <c r="F342" t="str">
        <f t="shared" si="33"/>
        <v>0000</v>
      </c>
    </row>
    <row r="343" spans="1:6">
      <c r="A343" t="str">
        <f>"T847-3"</f>
        <v>T847-3</v>
      </c>
      <c r="B343" t="str">
        <f t="shared" si="37"/>
        <v>VIA GIACOMO BRUZZO VICINO AL 17-</v>
      </c>
      <c r="C343" t="str">
        <f t="shared" si="36"/>
        <v>4</v>
      </c>
      <c r="D343">
        <v>17</v>
      </c>
      <c r="E343" t="str">
        <f>"6"</f>
        <v>6</v>
      </c>
      <c r="F343" t="str">
        <f t="shared" si="33"/>
        <v>0000</v>
      </c>
    </row>
    <row r="344" spans="1:6">
      <c r="A344" t="str">
        <f>"T847-4"</f>
        <v>T847-4</v>
      </c>
      <c r="B344" t="str">
        <f t="shared" si="37"/>
        <v>VIA GIACOMO BRUZZO VICINO AL 17-</v>
      </c>
      <c r="C344" t="str">
        <f t="shared" si="36"/>
        <v>4</v>
      </c>
      <c r="D344">
        <v>17</v>
      </c>
      <c r="E344" t="str">
        <f>"7"</f>
        <v>7</v>
      </c>
      <c r="F344" t="str">
        <f t="shared" si="33"/>
        <v>0000</v>
      </c>
    </row>
    <row r="345" spans="1:6">
      <c r="A345" t="str">
        <f>"T847-5"</f>
        <v>T847-5</v>
      </c>
      <c r="B345" t="str">
        <f t="shared" si="37"/>
        <v>VIA GIACOMO BRUZZO VICINO AL 17-</v>
      </c>
      <c r="C345" t="str">
        <f t="shared" si="36"/>
        <v>4</v>
      </c>
      <c r="D345">
        <v>17</v>
      </c>
      <c r="E345" t="str">
        <f>"8"</f>
        <v>8</v>
      </c>
      <c r="F345" t="str">
        <f t="shared" si="33"/>
        <v>0000</v>
      </c>
    </row>
    <row r="346" spans="1:6">
      <c r="A346" t="str">
        <f>"T847-6"</f>
        <v>T847-6</v>
      </c>
      <c r="B346" t="str">
        <f t="shared" si="37"/>
        <v>VIA GIACOMO BRUZZO VICINO AL 17-</v>
      </c>
      <c r="C346" t="str">
        <f t="shared" si="36"/>
        <v>4</v>
      </c>
      <c r="D346">
        <v>17</v>
      </c>
      <c r="E346" t="str">
        <f>"230"</f>
        <v>230</v>
      </c>
      <c r="F346" t="str">
        <f t="shared" si="33"/>
        <v>0000</v>
      </c>
    </row>
    <row r="347" spans="1:6">
      <c r="A347" t="str">
        <f>"T848-1"</f>
        <v>T848-1</v>
      </c>
      <c r="B347" t="str">
        <f>"VIA CARNIA VICINO AL 59-"</f>
        <v>VIA CARNIA VICINO AL 59-</v>
      </c>
      <c r="C347" t="str">
        <f t="shared" si="36"/>
        <v>4</v>
      </c>
      <c r="D347">
        <v>26</v>
      </c>
      <c r="E347" t="str">
        <f>"424"</f>
        <v>424</v>
      </c>
      <c r="F347" t="str">
        <f t="shared" si="33"/>
        <v>0000</v>
      </c>
    </row>
    <row r="348" spans="1:6">
      <c r="A348" t="str">
        <f>"T853-1"</f>
        <v>T853-1</v>
      </c>
      <c r="B348" t="str">
        <f>"VIA SAN QUIRICO VICINO AL 53-"</f>
        <v>VIA SAN QUIRICO VICINO AL 53-</v>
      </c>
      <c r="C348" t="str">
        <f t="shared" si="36"/>
        <v>4</v>
      </c>
      <c r="D348">
        <v>9</v>
      </c>
      <c r="E348" t="str">
        <f>"3"</f>
        <v>3</v>
      </c>
      <c r="F348" t="str">
        <f t="shared" si="33"/>
        <v>0000</v>
      </c>
    </row>
    <row r="349" spans="1:6">
      <c r="A349" t="str">
        <f>"T853-2"</f>
        <v>T853-2</v>
      </c>
      <c r="B349" t="str">
        <f>"VIA SAN QUIRICO VICINO AL 53-"</f>
        <v>VIA SAN QUIRICO VICINO AL 53-</v>
      </c>
      <c r="C349" t="str">
        <f t="shared" si="36"/>
        <v>4</v>
      </c>
      <c r="D349">
        <v>9</v>
      </c>
      <c r="E349" t="str">
        <f>"237"</f>
        <v>237</v>
      </c>
      <c r="F349" t="str">
        <f t="shared" si="33"/>
        <v>0000</v>
      </c>
    </row>
    <row r="350" spans="1:6">
      <c r="A350" t="str">
        <f>"T855-1"</f>
        <v>T855-1</v>
      </c>
      <c r="B350" t="str">
        <f>"VIA RIO DI PO VICINO AL 35-"</f>
        <v>VIA RIO DI PO VICINO AL 35-</v>
      </c>
      <c r="C350" t="str">
        <f t="shared" si="36"/>
        <v>4</v>
      </c>
      <c r="D350">
        <v>8</v>
      </c>
      <c r="E350" t="str">
        <f>"A"</f>
        <v>A</v>
      </c>
      <c r="F350" t="str">
        <f t="shared" si="33"/>
        <v>0000</v>
      </c>
    </row>
    <row r="351" spans="1:6">
      <c r="A351" t="str">
        <f>"T856-1"</f>
        <v>T856-1</v>
      </c>
      <c r="B351" t="str">
        <f>"VIA RIO DI PO VICINO AL 35-"</f>
        <v>VIA RIO DI PO VICINO AL 35-</v>
      </c>
      <c r="C351" t="str">
        <f t="shared" si="36"/>
        <v>4</v>
      </c>
      <c r="D351">
        <v>8</v>
      </c>
      <c r="E351" t="str">
        <f>"A"</f>
        <v>A</v>
      </c>
      <c r="F351" t="str">
        <f t="shared" si="33"/>
        <v>0000</v>
      </c>
    </row>
    <row r="352" spans="1:6">
      <c r="A352" t="str">
        <f>"T856-2"</f>
        <v>T856-2</v>
      </c>
      <c r="B352" t="str">
        <f>"VIA RIO DI PO VICINO AL 35-"</f>
        <v>VIA RIO DI PO VICINO AL 35-</v>
      </c>
      <c r="C352" t="str">
        <f t="shared" si="36"/>
        <v>4</v>
      </c>
      <c r="D352">
        <v>8</v>
      </c>
      <c r="E352" t="str">
        <f>"269"</f>
        <v>269</v>
      </c>
      <c r="F352" t="str">
        <f t="shared" si="33"/>
        <v>0000</v>
      </c>
    </row>
    <row r="353" spans="1:6">
      <c r="A353" t="str">
        <f>"T857-1"</f>
        <v>T857-1</v>
      </c>
      <c r="B353" t="str">
        <f>"SALITA CA DEI TRENTA VICINO AL 24-"</f>
        <v>SALITA CA DEI TRENTA VICINO AL 24-</v>
      </c>
      <c r="C353" t="str">
        <f>"3"</f>
        <v>3</v>
      </c>
      <c r="D353">
        <v>64</v>
      </c>
      <c r="E353" t="str">
        <f>"175"</f>
        <v>175</v>
      </c>
      <c r="F353" t="str">
        <f t="shared" ref="F353:F416" si="38">"0000"</f>
        <v>0000</v>
      </c>
    </row>
    <row r="354" spans="1:6">
      <c r="A354" t="str">
        <f>"T858-1"</f>
        <v>T858-1</v>
      </c>
      <c r="B354" t="str">
        <f>"VIA FALIERO VEZZANI VICINO AL 54-"</f>
        <v>VIA FALIERO VEZZANI VICINO AL 54-</v>
      </c>
      <c r="C354" t="str">
        <f>"4"</f>
        <v>4</v>
      </c>
      <c r="D354">
        <v>26</v>
      </c>
      <c r="E354" t="str">
        <f>"392"</f>
        <v>392</v>
      </c>
      <c r="F354" t="str">
        <f t="shared" si="38"/>
        <v>0000</v>
      </c>
    </row>
    <row r="355" spans="1:6">
      <c r="A355" t="str">
        <f>"T859-1"</f>
        <v>T859-1</v>
      </c>
      <c r="B355" t="str">
        <f>"VIA FALIERO VEZZANI VICINO AL 37-"</f>
        <v>VIA FALIERO VEZZANI VICINO AL 37-</v>
      </c>
      <c r="C355" t="str">
        <f>"4"</f>
        <v>4</v>
      </c>
      <c r="D355">
        <v>37</v>
      </c>
      <c r="E355" t="str">
        <f>"537"</f>
        <v>537</v>
      </c>
      <c r="F355" t="str">
        <f t="shared" si="38"/>
        <v>0000</v>
      </c>
    </row>
    <row r="356" spans="1:6">
      <c r="A356" t="str">
        <f>"T860-1"</f>
        <v>T860-1</v>
      </c>
      <c r="B356" t="str">
        <f>"VIA FORNACE DEL GARBO VICINO AL 91-"</f>
        <v>VIA FORNACE DEL GARBO VICINO AL 91-</v>
      </c>
      <c r="C356" t="str">
        <f>"4"</f>
        <v>4</v>
      </c>
      <c r="D356">
        <v>32</v>
      </c>
      <c r="E356" t="str">
        <f>"542"</f>
        <v>542</v>
      </c>
      <c r="F356" t="str">
        <f t="shared" si="38"/>
        <v>0000</v>
      </c>
    </row>
    <row r="357" spans="1:6">
      <c r="A357" t="str">
        <f>"T860-2"</f>
        <v>T860-2</v>
      </c>
      <c r="B357" t="str">
        <f>"VIA FORNACE DEL GARBO VICINO AL 91-"</f>
        <v>VIA FORNACE DEL GARBO VICINO AL 91-</v>
      </c>
      <c r="C357" t="str">
        <f>"4"</f>
        <v>4</v>
      </c>
      <c r="D357">
        <v>32</v>
      </c>
      <c r="E357" t="str">
        <f>"541"</f>
        <v>541</v>
      </c>
      <c r="F357" t="str">
        <f t="shared" si="38"/>
        <v>0000</v>
      </c>
    </row>
    <row r="358" spans="1:6">
      <c r="A358" t="str">
        <f>"T908-1"</f>
        <v>T908-1</v>
      </c>
      <c r="B358" t="str">
        <f>"VIA SARDORELLA VICINO AL 2UR-"</f>
        <v>VIA SARDORELLA VICINO AL 2UR-</v>
      </c>
      <c r="C358" t="str">
        <f>"4"</f>
        <v>4</v>
      </c>
      <c r="D358">
        <v>20</v>
      </c>
      <c r="E358" t="str">
        <f>"732"</f>
        <v>732</v>
      </c>
      <c r="F358" t="str">
        <f t="shared" si="38"/>
        <v>0000</v>
      </c>
    </row>
    <row r="359" spans="1:6">
      <c r="A359" t="str">
        <f>"T926-1"</f>
        <v>T926-1</v>
      </c>
      <c r="B359" t="str">
        <f>"SALITA CA DEI TRENTA VICINO AL 24-"</f>
        <v>SALITA CA DEI TRENTA VICINO AL 24-</v>
      </c>
      <c r="C359" t="str">
        <f>"3"</f>
        <v>3</v>
      </c>
      <c r="D359">
        <v>64</v>
      </c>
      <c r="E359" t="str">
        <f>"175"</f>
        <v>175</v>
      </c>
      <c r="F359" t="str">
        <f t="shared" si="38"/>
        <v>0000</v>
      </c>
    </row>
    <row r="360" spans="1:6">
      <c r="A360" t="str">
        <f>"T927-4"</f>
        <v>T927-4</v>
      </c>
      <c r="B360" t="str">
        <f t="shared" ref="B360:B384" si="39">"VIA SAN QUIRICO VICINO AL 3R-"</f>
        <v>VIA SAN QUIRICO VICINO AL 3R-</v>
      </c>
      <c r="C360" t="str">
        <f t="shared" ref="C360:C391" si="40">"4"</f>
        <v>4</v>
      </c>
      <c r="D360">
        <v>9</v>
      </c>
      <c r="E360" t="str">
        <f>"657"</f>
        <v>657</v>
      </c>
      <c r="F360" t="str">
        <f t="shared" si="38"/>
        <v>0000</v>
      </c>
    </row>
    <row r="361" spans="1:6">
      <c r="A361" t="str">
        <f>"T927-5"</f>
        <v>T927-5</v>
      </c>
      <c r="B361" t="str">
        <f t="shared" si="39"/>
        <v>VIA SAN QUIRICO VICINO AL 3R-</v>
      </c>
      <c r="C361" t="str">
        <f t="shared" si="40"/>
        <v>4</v>
      </c>
      <c r="D361">
        <v>9</v>
      </c>
      <c r="E361" t="str">
        <f>"658"</f>
        <v>658</v>
      </c>
      <c r="F361" t="str">
        <f t="shared" si="38"/>
        <v>0000</v>
      </c>
    </row>
    <row r="362" spans="1:6">
      <c r="A362" t="str">
        <f>"T927-7"</f>
        <v>T927-7</v>
      </c>
      <c r="B362" t="str">
        <f t="shared" si="39"/>
        <v>VIA SAN QUIRICO VICINO AL 3R-</v>
      </c>
      <c r="C362" t="str">
        <f t="shared" si="40"/>
        <v>4</v>
      </c>
      <c r="D362">
        <v>9</v>
      </c>
      <c r="E362" t="str">
        <f>"619"</f>
        <v>619</v>
      </c>
      <c r="F362" t="str">
        <f t="shared" si="38"/>
        <v>0000</v>
      </c>
    </row>
    <row r="363" spans="1:6">
      <c r="A363" t="str">
        <f>"T927-8"</f>
        <v>T927-8</v>
      </c>
      <c r="B363" t="str">
        <f t="shared" si="39"/>
        <v>VIA SAN QUIRICO VICINO AL 3R-</v>
      </c>
      <c r="C363" t="str">
        <f t="shared" si="40"/>
        <v>4</v>
      </c>
      <c r="D363">
        <v>9</v>
      </c>
      <c r="E363" t="str">
        <f>"569"</f>
        <v>569</v>
      </c>
      <c r="F363" t="str">
        <f t="shared" si="38"/>
        <v>0000</v>
      </c>
    </row>
    <row r="364" spans="1:6">
      <c r="A364" t="str">
        <f>"T927-9"</f>
        <v>T927-9</v>
      </c>
      <c r="B364" t="str">
        <f t="shared" si="39"/>
        <v>VIA SAN QUIRICO VICINO AL 3R-</v>
      </c>
      <c r="C364" t="str">
        <f t="shared" si="40"/>
        <v>4</v>
      </c>
      <c r="D364">
        <v>9</v>
      </c>
      <c r="E364" t="str">
        <f>"283"</f>
        <v>283</v>
      </c>
      <c r="F364" t="str">
        <f t="shared" si="38"/>
        <v>0000</v>
      </c>
    </row>
    <row r="365" spans="1:6">
      <c r="A365" t="str">
        <f>"T927-10"</f>
        <v>T927-10</v>
      </c>
      <c r="B365" t="str">
        <f t="shared" si="39"/>
        <v>VIA SAN QUIRICO VICINO AL 3R-</v>
      </c>
      <c r="C365" t="str">
        <f t="shared" si="40"/>
        <v>4</v>
      </c>
      <c r="D365">
        <v>9</v>
      </c>
      <c r="E365" t="str">
        <f>"284"</f>
        <v>284</v>
      </c>
      <c r="F365" t="str">
        <f t="shared" si="38"/>
        <v>0000</v>
      </c>
    </row>
    <row r="366" spans="1:6">
      <c r="A366" t="str">
        <f>"T927-11"</f>
        <v>T927-11</v>
      </c>
      <c r="B366" t="str">
        <f t="shared" si="39"/>
        <v>VIA SAN QUIRICO VICINO AL 3R-</v>
      </c>
      <c r="C366" t="str">
        <f t="shared" si="40"/>
        <v>4</v>
      </c>
      <c r="D366">
        <v>9</v>
      </c>
      <c r="E366" t="str">
        <f>"285"</f>
        <v>285</v>
      </c>
      <c r="F366" t="str">
        <f t="shared" si="38"/>
        <v>0000</v>
      </c>
    </row>
    <row r="367" spans="1:6">
      <c r="A367" t="str">
        <f>"T927-12"</f>
        <v>T927-12</v>
      </c>
      <c r="B367" t="str">
        <f t="shared" si="39"/>
        <v>VIA SAN QUIRICO VICINO AL 3R-</v>
      </c>
      <c r="C367" t="str">
        <f t="shared" si="40"/>
        <v>4</v>
      </c>
      <c r="D367">
        <v>9</v>
      </c>
      <c r="E367" t="str">
        <f>"286"</f>
        <v>286</v>
      </c>
      <c r="F367" t="str">
        <f t="shared" si="38"/>
        <v>0000</v>
      </c>
    </row>
    <row r="368" spans="1:6">
      <c r="A368" t="str">
        <f>"T927-13"</f>
        <v>T927-13</v>
      </c>
      <c r="B368" t="str">
        <f t="shared" si="39"/>
        <v>VIA SAN QUIRICO VICINO AL 3R-</v>
      </c>
      <c r="C368" t="str">
        <f t="shared" si="40"/>
        <v>4</v>
      </c>
      <c r="D368">
        <v>9</v>
      </c>
      <c r="E368" t="str">
        <f>"289"</f>
        <v>289</v>
      </c>
      <c r="F368" t="str">
        <f t="shared" si="38"/>
        <v>0000</v>
      </c>
    </row>
    <row r="369" spans="1:6">
      <c r="A369" t="str">
        <f>"T927-14"</f>
        <v>T927-14</v>
      </c>
      <c r="B369" t="str">
        <f t="shared" si="39"/>
        <v>VIA SAN QUIRICO VICINO AL 3R-</v>
      </c>
      <c r="C369" t="str">
        <f t="shared" si="40"/>
        <v>4</v>
      </c>
      <c r="D369">
        <v>9</v>
      </c>
      <c r="E369" t="str">
        <f>"287"</f>
        <v>287</v>
      </c>
      <c r="F369" t="str">
        <f t="shared" si="38"/>
        <v>0000</v>
      </c>
    </row>
    <row r="370" spans="1:6">
      <c r="A370" t="str">
        <f>"T927-23"</f>
        <v>T927-23</v>
      </c>
      <c r="B370" t="str">
        <f t="shared" si="39"/>
        <v>VIA SAN QUIRICO VICINO AL 3R-</v>
      </c>
      <c r="C370" t="str">
        <f t="shared" si="40"/>
        <v>4</v>
      </c>
      <c r="D370">
        <v>10</v>
      </c>
      <c r="E370" t="str">
        <f>"401"</f>
        <v>401</v>
      </c>
      <c r="F370" t="str">
        <f t="shared" si="38"/>
        <v>0000</v>
      </c>
    </row>
    <row r="371" spans="1:6">
      <c r="A371" t="str">
        <f>"T927-25"</f>
        <v>T927-25</v>
      </c>
      <c r="B371" t="str">
        <f t="shared" si="39"/>
        <v>VIA SAN QUIRICO VICINO AL 3R-</v>
      </c>
      <c r="C371" t="str">
        <f t="shared" si="40"/>
        <v>4</v>
      </c>
      <c r="D371">
        <v>9</v>
      </c>
      <c r="E371" t="str">
        <f>"99999"</f>
        <v>99999</v>
      </c>
      <c r="F371" t="str">
        <f t="shared" si="38"/>
        <v>0000</v>
      </c>
    </row>
    <row r="372" spans="1:6">
      <c r="A372" t="str">
        <f>"T927-27"</f>
        <v>T927-27</v>
      </c>
      <c r="B372" t="str">
        <f t="shared" si="39"/>
        <v>VIA SAN QUIRICO VICINO AL 3R-</v>
      </c>
      <c r="C372" t="str">
        <f t="shared" si="40"/>
        <v>4</v>
      </c>
      <c r="D372">
        <v>9</v>
      </c>
      <c r="E372" t="str">
        <f>"620"</f>
        <v>620</v>
      </c>
      <c r="F372" t="str">
        <f t="shared" si="38"/>
        <v>0000</v>
      </c>
    </row>
    <row r="373" spans="1:6">
      <c r="A373" t="str">
        <f>"T927-28"</f>
        <v>T927-28</v>
      </c>
      <c r="B373" t="str">
        <f t="shared" si="39"/>
        <v>VIA SAN QUIRICO VICINO AL 3R-</v>
      </c>
      <c r="C373" t="str">
        <f t="shared" si="40"/>
        <v>4</v>
      </c>
      <c r="D373">
        <v>9</v>
      </c>
      <c r="E373" t="str">
        <f>"571"</f>
        <v>571</v>
      </c>
      <c r="F373" t="str">
        <f t="shared" si="38"/>
        <v>0000</v>
      </c>
    </row>
    <row r="374" spans="1:6">
      <c r="A374" t="str">
        <f>"T927-29"</f>
        <v>T927-29</v>
      </c>
      <c r="B374" t="str">
        <f t="shared" si="39"/>
        <v>VIA SAN QUIRICO VICINO AL 3R-</v>
      </c>
      <c r="C374" t="str">
        <f t="shared" si="40"/>
        <v>4</v>
      </c>
      <c r="D374">
        <v>10</v>
      </c>
      <c r="E374" t="str">
        <f>"396"</f>
        <v>396</v>
      </c>
      <c r="F374" t="str">
        <f t="shared" si="38"/>
        <v>0000</v>
      </c>
    </row>
    <row r="375" spans="1:6">
      <c r="A375" t="str">
        <f>"T927-30"</f>
        <v>T927-30</v>
      </c>
      <c r="B375" t="str">
        <f t="shared" si="39"/>
        <v>VIA SAN QUIRICO VICINO AL 3R-</v>
      </c>
      <c r="C375" t="str">
        <f t="shared" si="40"/>
        <v>4</v>
      </c>
      <c r="D375">
        <v>20</v>
      </c>
      <c r="E375" t="str">
        <f>"557"</f>
        <v>557</v>
      </c>
      <c r="F375" t="str">
        <f t="shared" si="38"/>
        <v>0000</v>
      </c>
    </row>
    <row r="376" spans="1:6">
      <c r="A376" t="str">
        <f>"T927-31"</f>
        <v>T927-31</v>
      </c>
      <c r="B376" t="str">
        <f t="shared" si="39"/>
        <v>VIA SAN QUIRICO VICINO AL 3R-</v>
      </c>
      <c r="C376" t="str">
        <f t="shared" si="40"/>
        <v>4</v>
      </c>
      <c r="D376">
        <v>20</v>
      </c>
      <c r="E376" t="str">
        <f>"557"</f>
        <v>557</v>
      </c>
      <c r="F376" t="str">
        <f t="shared" si="38"/>
        <v>0000</v>
      </c>
    </row>
    <row r="377" spans="1:6">
      <c r="A377" t="str">
        <f>"T927-32"</f>
        <v>T927-32</v>
      </c>
      <c r="B377" t="str">
        <f t="shared" si="39"/>
        <v>VIA SAN QUIRICO VICINO AL 3R-</v>
      </c>
      <c r="C377" t="str">
        <f t="shared" si="40"/>
        <v>4</v>
      </c>
      <c r="D377">
        <v>20</v>
      </c>
      <c r="E377" t="str">
        <f>"746"</f>
        <v>746</v>
      </c>
      <c r="F377" t="str">
        <f t="shared" si="38"/>
        <v>0000</v>
      </c>
    </row>
    <row r="378" spans="1:6">
      <c r="A378" t="str">
        <f>"T927-33"</f>
        <v>T927-33</v>
      </c>
      <c r="B378" t="str">
        <f t="shared" si="39"/>
        <v>VIA SAN QUIRICO VICINO AL 3R-</v>
      </c>
      <c r="C378" t="str">
        <f t="shared" si="40"/>
        <v>4</v>
      </c>
      <c r="D378">
        <v>20</v>
      </c>
      <c r="E378" t="str">
        <f>"747"</f>
        <v>747</v>
      </c>
      <c r="F378" t="str">
        <f t="shared" si="38"/>
        <v>0000</v>
      </c>
    </row>
    <row r="379" spans="1:6">
      <c r="A379" t="str">
        <f>"T927-34"</f>
        <v>T927-34</v>
      </c>
      <c r="B379" t="str">
        <f t="shared" si="39"/>
        <v>VIA SAN QUIRICO VICINO AL 3R-</v>
      </c>
      <c r="C379" t="str">
        <f t="shared" si="40"/>
        <v>4</v>
      </c>
      <c r="D379">
        <v>20</v>
      </c>
      <c r="E379" t="str">
        <f>"745"</f>
        <v>745</v>
      </c>
      <c r="F379" t="str">
        <f t="shared" si="38"/>
        <v>0000</v>
      </c>
    </row>
    <row r="380" spans="1:6">
      <c r="A380" t="str">
        <f>"T927-35"</f>
        <v>T927-35</v>
      </c>
      <c r="B380" t="str">
        <f t="shared" si="39"/>
        <v>VIA SAN QUIRICO VICINO AL 3R-</v>
      </c>
      <c r="C380" t="str">
        <f t="shared" si="40"/>
        <v>4</v>
      </c>
      <c r="D380">
        <v>20</v>
      </c>
      <c r="E380" t="str">
        <f>"744"</f>
        <v>744</v>
      </c>
      <c r="F380" t="str">
        <f t="shared" si="38"/>
        <v>0000</v>
      </c>
    </row>
    <row r="381" spans="1:6">
      <c r="A381" t="str">
        <f>"T927-36"</f>
        <v>T927-36</v>
      </c>
      <c r="B381" t="str">
        <f t="shared" si="39"/>
        <v>VIA SAN QUIRICO VICINO AL 3R-</v>
      </c>
      <c r="C381" t="str">
        <f t="shared" si="40"/>
        <v>4</v>
      </c>
      <c r="D381">
        <v>20</v>
      </c>
      <c r="E381" t="str">
        <f>"739"</f>
        <v>739</v>
      </c>
      <c r="F381" t="str">
        <f t="shared" si="38"/>
        <v>0000</v>
      </c>
    </row>
    <row r="382" spans="1:6">
      <c r="A382" t="str">
        <f>"T927-37"</f>
        <v>T927-37</v>
      </c>
      <c r="B382" t="str">
        <f t="shared" si="39"/>
        <v>VIA SAN QUIRICO VICINO AL 3R-</v>
      </c>
      <c r="C382" t="str">
        <f t="shared" si="40"/>
        <v>4</v>
      </c>
      <c r="D382">
        <v>20</v>
      </c>
      <c r="E382" t="str">
        <f>"755"</f>
        <v>755</v>
      </c>
      <c r="F382" t="str">
        <f t="shared" si="38"/>
        <v>0000</v>
      </c>
    </row>
    <row r="383" spans="1:6">
      <c r="A383" t="str">
        <f>"T927-38"</f>
        <v>T927-38</v>
      </c>
      <c r="B383" t="str">
        <f t="shared" si="39"/>
        <v>VIA SAN QUIRICO VICINO AL 3R-</v>
      </c>
      <c r="C383" t="str">
        <f t="shared" si="40"/>
        <v>4</v>
      </c>
      <c r="D383">
        <v>20</v>
      </c>
      <c r="E383" t="str">
        <f>"740"</f>
        <v>740</v>
      </c>
      <c r="F383" t="str">
        <f t="shared" si="38"/>
        <v>0000</v>
      </c>
    </row>
    <row r="384" spans="1:6">
      <c r="A384" t="str">
        <f>"T927-39"</f>
        <v>T927-39</v>
      </c>
      <c r="B384" t="str">
        <f t="shared" si="39"/>
        <v>VIA SAN QUIRICO VICINO AL 3R-</v>
      </c>
      <c r="C384" t="str">
        <f t="shared" si="40"/>
        <v>4</v>
      </c>
      <c r="D384">
        <v>20</v>
      </c>
      <c r="E384" t="str">
        <f>"738"</f>
        <v>738</v>
      </c>
      <c r="F384" t="str">
        <f t="shared" si="38"/>
        <v>0000</v>
      </c>
    </row>
    <row r="385" spans="1:6">
      <c r="A385" t="str">
        <f>"T928-4"</f>
        <v>T928-4</v>
      </c>
      <c r="B385" t="str">
        <f t="shared" ref="B385:B422" si="41">"VIA GIUSEPPE COLANO VICINO AL 9-"</f>
        <v>VIA GIUSEPPE COLANO VICINO AL 9-</v>
      </c>
      <c r="C385" t="str">
        <f t="shared" si="40"/>
        <v>4</v>
      </c>
      <c r="D385">
        <v>20</v>
      </c>
      <c r="E385" t="str">
        <f>"700"</f>
        <v>700</v>
      </c>
      <c r="F385" t="str">
        <f t="shared" si="38"/>
        <v>0000</v>
      </c>
    </row>
    <row r="386" spans="1:6">
      <c r="A386" t="str">
        <f>"T928-5"</f>
        <v>T928-5</v>
      </c>
      <c r="B386" t="str">
        <f t="shared" si="41"/>
        <v>VIA GIUSEPPE COLANO VICINO AL 9-</v>
      </c>
      <c r="C386" t="str">
        <f t="shared" si="40"/>
        <v>4</v>
      </c>
      <c r="D386">
        <v>20</v>
      </c>
      <c r="E386" t="str">
        <f>"701"</f>
        <v>701</v>
      </c>
      <c r="F386" t="str">
        <f t="shared" si="38"/>
        <v>0000</v>
      </c>
    </row>
    <row r="387" spans="1:6">
      <c r="A387" t="str">
        <f>"T928-6"</f>
        <v>T928-6</v>
      </c>
      <c r="B387" t="str">
        <f t="shared" si="41"/>
        <v>VIA GIUSEPPE COLANO VICINO AL 9-</v>
      </c>
      <c r="C387" t="str">
        <f t="shared" si="40"/>
        <v>4</v>
      </c>
      <c r="D387">
        <v>20</v>
      </c>
      <c r="E387" t="str">
        <f>"153"</f>
        <v>153</v>
      </c>
      <c r="F387" t="str">
        <f t="shared" si="38"/>
        <v>0000</v>
      </c>
    </row>
    <row r="388" spans="1:6">
      <c r="A388" t="str">
        <f>"T928-7"</f>
        <v>T928-7</v>
      </c>
      <c r="B388" t="str">
        <f t="shared" si="41"/>
        <v>VIA GIUSEPPE COLANO VICINO AL 9-</v>
      </c>
      <c r="C388" t="str">
        <f t="shared" si="40"/>
        <v>4</v>
      </c>
      <c r="D388">
        <v>20</v>
      </c>
      <c r="E388" t="str">
        <f>"152"</f>
        <v>152</v>
      </c>
      <c r="F388" t="str">
        <f t="shared" si="38"/>
        <v>0000</v>
      </c>
    </row>
    <row r="389" spans="1:6">
      <c r="A389" t="str">
        <f>"T928-8"</f>
        <v>T928-8</v>
      </c>
      <c r="B389" t="str">
        <f t="shared" si="41"/>
        <v>VIA GIUSEPPE COLANO VICINO AL 9-</v>
      </c>
      <c r="C389" t="str">
        <f t="shared" si="40"/>
        <v>4</v>
      </c>
      <c r="D389">
        <v>20</v>
      </c>
      <c r="E389" t="str">
        <f>"151"</f>
        <v>151</v>
      </c>
      <c r="F389" t="str">
        <f t="shared" si="38"/>
        <v>0000</v>
      </c>
    </row>
    <row r="390" spans="1:6">
      <c r="A390" t="str">
        <f>"T928-9"</f>
        <v>T928-9</v>
      </c>
      <c r="B390" t="str">
        <f t="shared" si="41"/>
        <v>VIA GIUSEPPE COLANO VICINO AL 9-</v>
      </c>
      <c r="C390" t="str">
        <f t="shared" si="40"/>
        <v>4</v>
      </c>
      <c r="D390">
        <v>20</v>
      </c>
      <c r="E390" t="str">
        <f>"155"</f>
        <v>155</v>
      </c>
      <c r="F390" t="str">
        <f t="shared" si="38"/>
        <v>0000</v>
      </c>
    </row>
    <row r="391" spans="1:6">
      <c r="A391" t="str">
        <f>"T928-10"</f>
        <v>T928-10</v>
      </c>
      <c r="B391" t="str">
        <f t="shared" si="41"/>
        <v>VIA GIUSEPPE COLANO VICINO AL 9-</v>
      </c>
      <c r="C391" t="str">
        <f t="shared" si="40"/>
        <v>4</v>
      </c>
      <c r="D391">
        <v>20</v>
      </c>
      <c r="E391" t="str">
        <f>"150"</f>
        <v>150</v>
      </c>
      <c r="F391" t="str">
        <f t="shared" si="38"/>
        <v>0000</v>
      </c>
    </row>
    <row r="392" spans="1:6">
      <c r="A392" t="str">
        <f>"T928-11"</f>
        <v>T928-11</v>
      </c>
      <c r="B392" t="str">
        <f t="shared" si="41"/>
        <v>VIA GIUSEPPE COLANO VICINO AL 9-</v>
      </c>
      <c r="C392" t="str">
        <f t="shared" ref="C392:C423" si="42">"4"</f>
        <v>4</v>
      </c>
      <c r="D392">
        <v>20</v>
      </c>
      <c r="E392" t="str">
        <f>"154"</f>
        <v>154</v>
      </c>
      <c r="F392" t="str">
        <f t="shared" si="38"/>
        <v>0000</v>
      </c>
    </row>
    <row r="393" spans="1:6">
      <c r="A393" t="str">
        <f>"T928-12"</f>
        <v>T928-12</v>
      </c>
      <c r="B393" t="str">
        <f t="shared" si="41"/>
        <v>VIA GIUSEPPE COLANO VICINO AL 9-</v>
      </c>
      <c r="C393" t="str">
        <f t="shared" si="42"/>
        <v>4</v>
      </c>
      <c r="D393">
        <v>20</v>
      </c>
      <c r="E393" t="str">
        <f>"149"</f>
        <v>149</v>
      </c>
      <c r="F393" t="str">
        <f t="shared" si="38"/>
        <v>0000</v>
      </c>
    </row>
    <row r="394" spans="1:6">
      <c r="A394" t="str">
        <f>"T928-13"</f>
        <v>T928-13</v>
      </c>
      <c r="B394" t="str">
        <f t="shared" si="41"/>
        <v>VIA GIUSEPPE COLANO VICINO AL 9-</v>
      </c>
      <c r="C394" t="str">
        <f t="shared" si="42"/>
        <v>4</v>
      </c>
      <c r="D394">
        <v>20</v>
      </c>
      <c r="E394" t="str">
        <f>"578"</f>
        <v>578</v>
      </c>
      <c r="F394" t="str">
        <f t="shared" si="38"/>
        <v>0000</v>
      </c>
    </row>
    <row r="395" spans="1:6">
      <c r="A395" t="str">
        <f>"T928-14"</f>
        <v>T928-14</v>
      </c>
      <c r="B395" t="str">
        <f t="shared" si="41"/>
        <v>VIA GIUSEPPE COLANO VICINO AL 9-</v>
      </c>
      <c r="C395" t="str">
        <f t="shared" si="42"/>
        <v>4</v>
      </c>
      <c r="D395">
        <v>20</v>
      </c>
      <c r="E395" t="str">
        <f>"579"</f>
        <v>579</v>
      </c>
      <c r="F395" t="str">
        <f t="shared" si="38"/>
        <v>0000</v>
      </c>
    </row>
    <row r="396" spans="1:6">
      <c r="A396" t="str">
        <f>"T928-15"</f>
        <v>T928-15</v>
      </c>
      <c r="B396" t="str">
        <f t="shared" si="41"/>
        <v>VIA GIUSEPPE COLANO VICINO AL 9-</v>
      </c>
      <c r="C396" t="str">
        <f t="shared" si="42"/>
        <v>4</v>
      </c>
      <c r="D396">
        <v>20</v>
      </c>
      <c r="E396" t="str">
        <f>"580"</f>
        <v>580</v>
      </c>
      <c r="F396" t="str">
        <f t="shared" si="38"/>
        <v>0000</v>
      </c>
    </row>
    <row r="397" spans="1:6">
      <c r="A397" t="str">
        <f>"T928-16"</f>
        <v>T928-16</v>
      </c>
      <c r="B397" t="str">
        <f t="shared" si="41"/>
        <v>VIA GIUSEPPE COLANO VICINO AL 9-</v>
      </c>
      <c r="C397" t="str">
        <f t="shared" si="42"/>
        <v>4</v>
      </c>
      <c r="D397">
        <v>20</v>
      </c>
      <c r="E397" t="str">
        <f>"581"</f>
        <v>581</v>
      </c>
      <c r="F397" t="str">
        <f t="shared" si="38"/>
        <v>0000</v>
      </c>
    </row>
    <row r="398" spans="1:6">
      <c r="A398" t="str">
        <f>"T928-18"</f>
        <v>T928-18</v>
      </c>
      <c r="B398" t="str">
        <f t="shared" si="41"/>
        <v>VIA GIUSEPPE COLANO VICINO AL 9-</v>
      </c>
      <c r="C398" t="str">
        <f t="shared" si="42"/>
        <v>4</v>
      </c>
      <c r="D398">
        <v>20</v>
      </c>
      <c r="E398" t="str">
        <f>"258"</f>
        <v>258</v>
      </c>
      <c r="F398" t="str">
        <f t="shared" si="38"/>
        <v>0000</v>
      </c>
    </row>
    <row r="399" spans="1:6">
      <c r="A399" t="str">
        <f>"T928-19"</f>
        <v>T928-19</v>
      </c>
      <c r="B399" t="str">
        <f t="shared" si="41"/>
        <v>VIA GIUSEPPE COLANO VICINO AL 9-</v>
      </c>
      <c r="C399" t="str">
        <f t="shared" si="42"/>
        <v>4</v>
      </c>
      <c r="D399">
        <v>20</v>
      </c>
      <c r="E399" t="str">
        <f>"71"</f>
        <v>71</v>
      </c>
      <c r="F399" t="str">
        <f t="shared" si="38"/>
        <v>0000</v>
      </c>
    </row>
    <row r="400" spans="1:6">
      <c r="A400" t="str">
        <f>"T928-20"</f>
        <v>T928-20</v>
      </c>
      <c r="B400" t="str">
        <f t="shared" si="41"/>
        <v>VIA GIUSEPPE COLANO VICINO AL 9-</v>
      </c>
      <c r="C400" t="str">
        <f t="shared" si="42"/>
        <v>4</v>
      </c>
      <c r="D400">
        <v>20</v>
      </c>
      <c r="E400" t="str">
        <f>"557"</f>
        <v>557</v>
      </c>
      <c r="F400" t="str">
        <f t="shared" si="38"/>
        <v>0000</v>
      </c>
    </row>
    <row r="401" spans="1:6">
      <c r="A401" t="str">
        <f>"T928-21"</f>
        <v>T928-21</v>
      </c>
      <c r="B401" t="str">
        <f t="shared" si="41"/>
        <v>VIA GIUSEPPE COLANO VICINO AL 9-</v>
      </c>
      <c r="C401" t="str">
        <f t="shared" si="42"/>
        <v>4</v>
      </c>
      <c r="D401">
        <v>20</v>
      </c>
      <c r="E401" t="str">
        <f>"729"</f>
        <v>729</v>
      </c>
      <c r="F401" t="str">
        <f t="shared" si="38"/>
        <v>0000</v>
      </c>
    </row>
    <row r="402" spans="1:6">
      <c r="A402" t="str">
        <f>"T928-22"</f>
        <v>T928-22</v>
      </c>
      <c r="B402" t="str">
        <f t="shared" si="41"/>
        <v>VIA GIUSEPPE COLANO VICINO AL 9-</v>
      </c>
      <c r="C402" t="str">
        <f t="shared" si="42"/>
        <v>4</v>
      </c>
      <c r="D402">
        <v>19</v>
      </c>
      <c r="E402" t="str">
        <f>"516"</f>
        <v>516</v>
      </c>
      <c r="F402" t="str">
        <f t="shared" si="38"/>
        <v>0000</v>
      </c>
    </row>
    <row r="403" spans="1:6">
      <c r="A403" t="str">
        <f>"T928-23"</f>
        <v>T928-23</v>
      </c>
      <c r="B403" t="str">
        <f t="shared" si="41"/>
        <v>VIA GIUSEPPE COLANO VICINO AL 9-</v>
      </c>
      <c r="C403" t="str">
        <f t="shared" si="42"/>
        <v>4</v>
      </c>
      <c r="D403">
        <v>19</v>
      </c>
      <c r="E403" t="str">
        <f>"57"</f>
        <v>57</v>
      </c>
      <c r="F403" t="str">
        <f t="shared" si="38"/>
        <v>0000</v>
      </c>
    </row>
    <row r="404" spans="1:6">
      <c r="A404" t="str">
        <f>"T928-24"</f>
        <v>T928-24</v>
      </c>
      <c r="B404" t="str">
        <f t="shared" si="41"/>
        <v>VIA GIUSEPPE COLANO VICINO AL 9-</v>
      </c>
      <c r="C404" t="str">
        <f t="shared" si="42"/>
        <v>4</v>
      </c>
      <c r="D404">
        <v>17</v>
      </c>
      <c r="E404" t="str">
        <f>"380"</f>
        <v>380</v>
      </c>
      <c r="F404" t="str">
        <f t="shared" si="38"/>
        <v>0000</v>
      </c>
    </row>
    <row r="405" spans="1:6">
      <c r="A405" t="str">
        <f>"T928-25"</f>
        <v>T928-25</v>
      </c>
      <c r="B405" t="str">
        <f t="shared" si="41"/>
        <v>VIA GIUSEPPE COLANO VICINO AL 9-</v>
      </c>
      <c r="C405" t="str">
        <f t="shared" si="42"/>
        <v>4</v>
      </c>
      <c r="D405">
        <v>17</v>
      </c>
      <c r="E405" t="str">
        <f>"3"</f>
        <v>3</v>
      </c>
      <c r="F405" t="str">
        <f t="shared" si="38"/>
        <v>0000</v>
      </c>
    </row>
    <row r="406" spans="1:6">
      <c r="A406" t="str">
        <f>"T928-26"</f>
        <v>T928-26</v>
      </c>
      <c r="B406" t="str">
        <f t="shared" si="41"/>
        <v>VIA GIUSEPPE COLANO VICINO AL 9-</v>
      </c>
      <c r="C406" t="str">
        <f t="shared" si="42"/>
        <v>4</v>
      </c>
      <c r="D406">
        <v>17</v>
      </c>
      <c r="E406" t="str">
        <f>"4"</f>
        <v>4</v>
      </c>
      <c r="F406" t="str">
        <f t="shared" si="38"/>
        <v>0000</v>
      </c>
    </row>
    <row r="407" spans="1:6">
      <c r="A407" t="str">
        <f>"T928-27"</f>
        <v>T928-27</v>
      </c>
      <c r="B407" t="str">
        <f t="shared" si="41"/>
        <v>VIA GIUSEPPE COLANO VICINO AL 9-</v>
      </c>
      <c r="C407" t="str">
        <f t="shared" si="42"/>
        <v>4</v>
      </c>
      <c r="D407">
        <v>17</v>
      </c>
      <c r="E407" t="str">
        <f>"6"</f>
        <v>6</v>
      </c>
      <c r="F407" t="str">
        <f t="shared" si="38"/>
        <v>0000</v>
      </c>
    </row>
    <row r="408" spans="1:6">
      <c r="A408" t="str">
        <f>"T928-30"</f>
        <v>T928-30</v>
      </c>
      <c r="B408" t="str">
        <f t="shared" si="41"/>
        <v>VIA GIUSEPPE COLANO VICINO AL 9-</v>
      </c>
      <c r="C408" t="str">
        <f t="shared" si="42"/>
        <v>4</v>
      </c>
      <c r="D408">
        <v>17</v>
      </c>
      <c r="E408" t="str">
        <f>"229"</f>
        <v>229</v>
      </c>
      <c r="F408" t="str">
        <f t="shared" si="38"/>
        <v>0000</v>
      </c>
    </row>
    <row r="409" spans="1:6">
      <c r="A409" t="str">
        <f>"T928-32"</f>
        <v>T928-32</v>
      </c>
      <c r="B409" t="str">
        <f t="shared" si="41"/>
        <v>VIA GIUSEPPE COLANO VICINO AL 9-</v>
      </c>
      <c r="C409" t="str">
        <f t="shared" si="42"/>
        <v>4</v>
      </c>
      <c r="D409">
        <v>20</v>
      </c>
      <c r="E409" t="str">
        <f>"71"</f>
        <v>71</v>
      </c>
      <c r="F409" t="str">
        <f t="shared" si="38"/>
        <v>0000</v>
      </c>
    </row>
    <row r="410" spans="1:6">
      <c r="A410" t="str">
        <f>"T928-33"</f>
        <v>T928-33</v>
      </c>
      <c r="B410" t="str">
        <f t="shared" si="41"/>
        <v>VIA GIUSEPPE COLANO VICINO AL 9-</v>
      </c>
      <c r="C410" t="str">
        <f t="shared" si="42"/>
        <v>4</v>
      </c>
      <c r="D410">
        <v>10</v>
      </c>
      <c r="E410" t="str">
        <f>"400"</f>
        <v>400</v>
      </c>
      <c r="F410" t="str">
        <f t="shared" si="38"/>
        <v>0000</v>
      </c>
    </row>
    <row r="411" spans="1:6">
      <c r="A411" t="str">
        <f>"T928-34"</f>
        <v>T928-34</v>
      </c>
      <c r="B411" t="str">
        <f t="shared" si="41"/>
        <v>VIA GIUSEPPE COLANO VICINO AL 9-</v>
      </c>
      <c r="C411" t="str">
        <f t="shared" si="42"/>
        <v>4</v>
      </c>
      <c r="D411">
        <v>9</v>
      </c>
      <c r="E411" t="str">
        <f>"708"</f>
        <v>708</v>
      </c>
      <c r="F411" t="str">
        <f t="shared" si="38"/>
        <v>0000</v>
      </c>
    </row>
    <row r="412" spans="1:6">
      <c r="A412" t="str">
        <f>"T928-35"</f>
        <v>T928-35</v>
      </c>
      <c r="B412" t="str">
        <f t="shared" si="41"/>
        <v>VIA GIUSEPPE COLANO VICINO AL 9-</v>
      </c>
      <c r="C412" t="str">
        <f t="shared" si="42"/>
        <v>4</v>
      </c>
      <c r="D412">
        <v>9</v>
      </c>
      <c r="E412" t="str">
        <f>"707"</f>
        <v>707</v>
      </c>
      <c r="F412" t="str">
        <f t="shared" si="38"/>
        <v>0000</v>
      </c>
    </row>
    <row r="413" spans="1:6">
      <c r="A413" t="str">
        <f>"T928-36"</f>
        <v>T928-36</v>
      </c>
      <c r="B413" t="str">
        <f t="shared" si="41"/>
        <v>VIA GIUSEPPE COLANO VICINO AL 9-</v>
      </c>
      <c r="C413" t="str">
        <f t="shared" si="42"/>
        <v>4</v>
      </c>
      <c r="D413">
        <v>9</v>
      </c>
      <c r="E413" t="str">
        <f>"709"</f>
        <v>709</v>
      </c>
      <c r="F413" t="str">
        <f t="shared" si="38"/>
        <v>0000</v>
      </c>
    </row>
    <row r="414" spans="1:6">
      <c r="A414" t="str">
        <f>"T928-37"</f>
        <v>T928-37</v>
      </c>
      <c r="B414" t="str">
        <f t="shared" si="41"/>
        <v>VIA GIUSEPPE COLANO VICINO AL 9-</v>
      </c>
      <c r="C414" t="str">
        <f t="shared" si="42"/>
        <v>4</v>
      </c>
      <c r="D414">
        <v>9</v>
      </c>
      <c r="E414" t="str">
        <f>"99999"</f>
        <v>99999</v>
      </c>
      <c r="F414" t="str">
        <f t="shared" si="38"/>
        <v>0000</v>
      </c>
    </row>
    <row r="415" spans="1:6">
      <c r="A415" t="str">
        <f>"T928-38"</f>
        <v>T928-38</v>
      </c>
      <c r="B415" t="str">
        <f t="shared" si="41"/>
        <v>VIA GIUSEPPE COLANO VICINO AL 9-</v>
      </c>
      <c r="C415" t="str">
        <f t="shared" si="42"/>
        <v>4</v>
      </c>
      <c r="D415">
        <v>9</v>
      </c>
      <c r="E415" t="str">
        <f>"692"</f>
        <v>692</v>
      </c>
      <c r="F415" t="str">
        <f t="shared" si="38"/>
        <v>0000</v>
      </c>
    </row>
    <row r="416" spans="1:6">
      <c r="A416" t="str">
        <f>"T928-39"</f>
        <v>T928-39</v>
      </c>
      <c r="B416" t="str">
        <f t="shared" si="41"/>
        <v>VIA GIUSEPPE COLANO VICINO AL 9-</v>
      </c>
      <c r="C416" t="str">
        <f t="shared" si="42"/>
        <v>4</v>
      </c>
      <c r="D416">
        <v>9</v>
      </c>
      <c r="E416" t="str">
        <f>"706"</f>
        <v>706</v>
      </c>
      <c r="F416" t="str">
        <f t="shared" si="38"/>
        <v>0000</v>
      </c>
    </row>
    <row r="417" spans="1:6">
      <c r="A417" t="str">
        <f>"T928-40"</f>
        <v>T928-40</v>
      </c>
      <c r="B417" t="str">
        <f t="shared" si="41"/>
        <v>VIA GIUSEPPE COLANO VICINO AL 9-</v>
      </c>
      <c r="C417" t="str">
        <f t="shared" si="42"/>
        <v>4</v>
      </c>
      <c r="D417">
        <v>9</v>
      </c>
      <c r="E417" t="str">
        <f>"690"</f>
        <v>690</v>
      </c>
      <c r="F417" t="str">
        <f t="shared" ref="F417:F480" si="43">"0000"</f>
        <v>0000</v>
      </c>
    </row>
    <row r="418" spans="1:6">
      <c r="A418" t="str">
        <f>"T928-41"</f>
        <v>T928-41</v>
      </c>
      <c r="B418" t="str">
        <f t="shared" si="41"/>
        <v>VIA GIUSEPPE COLANO VICINO AL 9-</v>
      </c>
      <c r="C418" t="str">
        <f t="shared" si="42"/>
        <v>4</v>
      </c>
      <c r="D418">
        <v>9</v>
      </c>
      <c r="E418" t="str">
        <f>"691"</f>
        <v>691</v>
      </c>
      <c r="F418" t="str">
        <f t="shared" si="43"/>
        <v>0000</v>
      </c>
    </row>
    <row r="419" spans="1:6">
      <c r="A419" t="str">
        <f>"T928-42"</f>
        <v>T928-42</v>
      </c>
      <c r="B419" t="str">
        <f t="shared" si="41"/>
        <v>VIA GIUSEPPE COLANO VICINO AL 9-</v>
      </c>
      <c r="C419" t="str">
        <f t="shared" si="42"/>
        <v>4</v>
      </c>
      <c r="D419">
        <v>17</v>
      </c>
      <c r="E419" t="str">
        <f>"386"</f>
        <v>386</v>
      </c>
      <c r="F419" t="str">
        <f t="shared" si="43"/>
        <v>0000</v>
      </c>
    </row>
    <row r="420" spans="1:6">
      <c r="A420" t="str">
        <f>"T928-43"</f>
        <v>T928-43</v>
      </c>
      <c r="B420" t="str">
        <f t="shared" si="41"/>
        <v>VIA GIUSEPPE COLANO VICINO AL 9-</v>
      </c>
      <c r="C420" t="str">
        <f t="shared" si="42"/>
        <v>4</v>
      </c>
      <c r="D420">
        <v>20</v>
      </c>
      <c r="E420" t="str">
        <f>"744"</f>
        <v>744</v>
      </c>
      <c r="F420" t="str">
        <f t="shared" si="43"/>
        <v>0000</v>
      </c>
    </row>
    <row r="421" spans="1:6">
      <c r="A421" t="str">
        <f>"T928-44"</f>
        <v>T928-44</v>
      </c>
      <c r="B421" t="str">
        <f t="shared" si="41"/>
        <v>VIA GIUSEPPE COLANO VICINO AL 9-</v>
      </c>
      <c r="C421" t="str">
        <f t="shared" si="42"/>
        <v>4</v>
      </c>
      <c r="D421">
        <v>20</v>
      </c>
      <c r="E421" t="str">
        <f>"530"</f>
        <v>530</v>
      </c>
      <c r="F421" t="str">
        <f t="shared" si="43"/>
        <v>0000</v>
      </c>
    </row>
    <row r="422" spans="1:6">
      <c r="A422" t="str">
        <f>"T928-45"</f>
        <v>T928-45</v>
      </c>
      <c r="B422" t="str">
        <f t="shared" si="41"/>
        <v>VIA GIUSEPPE COLANO VICINO AL 9-</v>
      </c>
      <c r="C422" t="str">
        <f t="shared" si="42"/>
        <v>4</v>
      </c>
      <c r="D422">
        <v>20</v>
      </c>
      <c r="E422" t="str">
        <f>"577"</f>
        <v>577</v>
      </c>
      <c r="F422" t="str">
        <f t="shared" si="43"/>
        <v>0000</v>
      </c>
    </row>
    <row r="423" spans="1:6">
      <c r="A423" t="str">
        <f>"T929-21"</f>
        <v>T929-21</v>
      </c>
      <c r="B423" t="str">
        <f t="shared" ref="B423:B430" si="44">"VIA GIUSEPPE COLANO VICINO AL 18-"</f>
        <v>VIA GIUSEPPE COLANO VICINO AL 18-</v>
      </c>
      <c r="C423" t="str">
        <f t="shared" si="42"/>
        <v>4</v>
      </c>
      <c r="D423">
        <v>9</v>
      </c>
      <c r="E423" t="str">
        <f>"266"</f>
        <v>266</v>
      </c>
      <c r="F423" t="str">
        <f t="shared" si="43"/>
        <v>0000</v>
      </c>
    </row>
    <row r="424" spans="1:6">
      <c r="A424" t="str">
        <f>"T929-22"</f>
        <v>T929-22</v>
      </c>
      <c r="B424" t="str">
        <f t="shared" si="44"/>
        <v>VIA GIUSEPPE COLANO VICINO AL 18-</v>
      </c>
      <c r="C424" t="str">
        <f t="shared" ref="C424:C433" si="45">"4"</f>
        <v>4</v>
      </c>
      <c r="D424">
        <v>9</v>
      </c>
      <c r="E424" t="str">
        <f>"280"</f>
        <v>280</v>
      </c>
      <c r="F424" t="str">
        <f t="shared" si="43"/>
        <v>0000</v>
      </c>
    </row>
    <row r="425" spans="1:6">
      <c r="A425" t="str">
        <f>"T929-23"</f>
        <v>T929-23</v>
      </c>
      <c r="B425" t="str">
        <f t="shared" si="44"/>
        <v>VIA GIUSEPPE COLANO VICINO AL 18-</v>
      </c>
      <c r="C425" t="str">
        <f t="shared" si="45"/>
        <v>4</v>
      </c>
      <c r="D425">
        <v>9</v>
      </c>
      <c r="E425" t="str">
        <f>"301"</f>
        <v>301</v>
      </c>
      <c r="F425" t="str">
        <f t="shared" si="43"/>
        <v>0000</v>
      </c>
    </row>
    <row r="426" spans="1:6">
      <c r="A426" t="str">
        <f>"T929-24"</f>
        <v>T929-24</v>
      </c>
      <c r="B426" t="str">
        <f t="shared" si="44"/>
        <v>VIA GIUSEPPE COLANO VICINO AL 18-</v>
      </c>
      <c r="C426" t="str">
        <f t="shared" si="45"/>
        <v>4</v>
      </c>
      <c r="D426">
        <v>9</v>
      </c>
      <c r="E426" t="str">
        <f>"282"</f>
        <v>282</v>
      </c>
      <c r="F426" t="str">
        <f t="shared" si="43"/>
        <v>0000</v>
      </c>
    </row>
    <row r="427" spans="1:6">
      <c r="A427" t="str">
        <f>"T929-25"</f>
        <v>T929-25</v>
      </c>
      <c r="B427" t="str">
        <f t="shared" si="44"/>
        <v>VIA GIUSEPPE COLANO VICINO AL 18-</v>
      </c>
      <c r="C427" t="str">
        <f t="shared" si="45"/>
        <v>4</v>
      </c>
      <c r="D427">
        <v>20</v>
      </c>
      <c r="E427" t="str">
        <f>"582"</f>
        <v>582</v>
      </c>
      <c r="F427" t="str">
        <f t="shared" si="43"/>
        <v>0000</v>
      </c>
    </row>
    <row r="428" spans="1:6">
      <c r="A428" t="str">
        <f>"T929-26"</f>
        <v>T929-26</v>
      </c>
      <c r="B428" t="str">
        <f t="shared" si="44"/>
        <v>VIA GIUSEPPE COLANO VICINO AL 18-</v>
      </c>
      <c r="C428" t="str">
        <f t="shared" si="45"/>
        <v>4</v>
      </c>
      <c r="D428">
        <v>20</v>
      </c>
      <c r="E428" t="str">
        <f>"258"</f>
        <v>258</v>
      </c>
      <c r="F428" t="str">
        <f t="shared" si="43"/>
        <v>0000</v>
      </c>
    </row>
    <row r="429" spans="1:6">
      <c r="A429" t="str">
        <f>"T929-27"</f>
        <v>T929-27</v>
      </c>
      <c r="B429" t="str">
        <f t="shared" si="44"/>
        <v>VIA GIUSEPPE COLANO VICINO AL 18-</v>
      </c>
      <c r="C429" t="str">
        <f t="shared" si="45"/>
        <v>4</v>
      </c>
      <c r="D429">
        <v>20</v>
      </c>
      <c r="E429" t="str">
        <f>"71"</f>
        <v>71</v>
      </c>
      <c r="F429" t="str">
        <f t="shared" si="43"/>
        <v>0000</v>
      </c>
    </row>
    <row r="430" spans="1:6">
      <c r="A430" t="str">
        <f>"T929-28"</f>
        <v>T929-28</v>
      </c>
      <c r="B430" t="str">
        <f t="shared" si="44"/>
        <v>VIA GIUSEPPE COLANO VICINO AL 18-</v>
      </c>
      <c r="C430" t="str">
        <f t="shared" si="45"/>
        <v>4</v>
      </c>
      <c r="D430">
        <v>20</v>
      </c>
      <c r="E430" t="str">
        <f>"557"</f>
        <v>557</v>
      </c>
      <c r="F430" t="str">
        <f t="shared" si="43"/>
        <v>0000</v>
      </c>
    </row>
    <row r="431" spans="1:6">
      <c r="A431" t="str">
        <f>"T942-1"</f>
        <v>T942-1</v>
      </c>
      <c r="B431" t="str">
        <f>"VIA FALIERO VEZZANI VICINO AL 54-"</f>
        <v>VIA FALIERO VEZZANI VICINO AL 54-</v>
      </c>
      <c r="C431" t="str">
        <f t="shared" si="45"/>
        <v>4</v>
      </c>
      <c r="D431">
        <v>26</v>
      </c>
      <c r="E431" t="str">
        <f>"401"</f>
        <v>401</v>
      </c>
      <c r="F431" t="str">
        <f t="shared" si="43"/>
        <v>0000</v>
      </c>
    </row>
    <row r="432" spans="1:6">
      <c r="A432" t="str">
        <f>"T942-2"</f>
        <v>T942-2</v>
      </c>
      <c r="B432" t="str">
        <f>"VIA FALIERO VEZZANI VICINO AL 54-"</f>
        <v>VIA FALIERO VEZZANI VICINO AL 54-</v>
      </c>
      <c r="C432" t="str">
        <f t="shared" si="45"/>
        <v>4</v>
      </c>
      <c r="D432">
        <v>26</v>
      </c>
      <c r="E432" t="str">
        <f>"400"</f>
        <v>400</v>
      </c>
      <c r="F432" t="str">
        <f t="shared" si="43"/>
        <v>0000</v>
      </c>
    </row>
    <row r="433" spans="1:6">
      <c r="A433" t="str">
        <f>"T974-24"</f>
        <v>T974-24</v>
      </c>
      <c r="B433" t="str">
        <f>"VIA S BIAGIO DI VALPOLCEV VICINO AL 43-"</f>
        <v>VIA S BIAGIO DI VALPOLCEV VICINO AL 43-</v>
      </c>
      <c r="C433" t="str">
        <f t="shared" si="45"/>
        <v>4</v>
      </c>
      <c r="D433">
        <v>6</v>
      </c>
      <c r="E433" t="str">
        <f>"187"</f>
        <v>187</v>
      </c>
      <c r="F433" t="str">
        <f t="shared" si="43"/>
        <v>0000</v>
      </c>
    </row>
    <row r="434" spans="1:6">
      <c r="A434" t="str">
        <f>"T1042-1"</f>
        <v>T1042-1</v>
      </c>
      <c r="B434" t="str">
        <f>"VIA DI BURLO VICINO AL 1-"</f>
        <v>VIA DI BURLO VICINO AL 1-</v>
      </c>
      <c r="C434" t="str">
        <f>"BOR"</f>
        <v>BOR</v>
      </c>
      <c r="D434">
        <v>66</v>
      </c>
      <c r="E434" t="str">
        <f>"1090"</f>
        <v>1090</v>
      </c>
      <c r="F434" t="str">
        <f t="shared" si="43"/>
        <v>0000</v>
      </c>
    </row>
    <row r="435" spans="1:6">
      <c r="A435" t="str">
        <f>"T1053-1"</f>
        <v>T1053-1</v>
      </c>
      <c r="B435" t="str">
        <f t="shared" ref="B435:B440" si="46">"VIA GIUSEPPE COLANO  1-"</f>
        <v>VIA GIUSEPPE COLANO  1-</v>
      </c>
      <c r="C435" t="str">
        <f t="shared" ref="C435:C466" si="47">"4"</f>
        <v>4</v>
      </c>
      <c r="D435">
        <v>20</v>
      </c>
      <c r="E435" t="str">
        <f>"1100"</f>
        <v>1100</v>
      </c>
      <c r="F435" t="str">
        <f t="shared" si="43"/>
        <v>0000</v>
      </c>
    </row>
    <row r="436" spans="1:6">
      <c r="A436" t="str">
        <f>"T1053-3"</f>
        <v>T1053-3</v>
      </c>
      <c r="B436" t="str">
        <f t="shared" si="46"/>
        <v>VIA GIUSEPPE COLANO  1-</v>
      </c>
      <c r="C436" t="str">
        <f t="shared" si="47"/>
        <v>4</v>
      </c>
      <c r="D436">
        <v>20</v>
      </c>
      <c r="E436" t="str">
        <f>"1105"</f>
        <v>1105</v>
      </c>
      <c r="F436" t="str">
        <f t="shared" si="43"/>
        <v>0000</v>
      </c>
    </row>
    <row r="437" spans="1:6">
      <c r="A437" t="str">
        <f>"T1053-4"</f>
        <v>T1053-4</v>
      </c>
      <c r="B437" t="str">
        <f t="shared" si="46"/>
        <v>VIA GIUSEPPE COLANO  1-</v>
      </c>
      <c r="C437" t="str">
        <f t="shared" si="47"/>
        <v>4</v>
      </c>
      <c r="D437">
        <v>20</v>
      </c>
      <c r="E437" t="str">
        <f>"1106"</f>
        <v>1106</v>
      </c>
      <c r="F437" t="str">
        <f t="shared" si="43"/>
        <v>0000</v>
      </c>
    </row>
    <row r="438" spans="1:6">
      <c r="A438" t="str">
        <f>"T1053-5"</f>
        <v>T1053-5</v>
      </c>
      <c r="B438" t="str">
        <f t="shared" si="46"/>
        <v>VIA GIUSEPPE COLANO  1-</v>
      </c>
      <c r="C438" t="str">
        <f t="shared" si="47"/>
        <v>4</v>
      </c>
      <c r="D438">
        <v>17</v>
      </c>
      <c r="E438" t="str">
        <f>"214"</f>
        <v>214</v>
      </c>
      <c r="F438" t="str">
        <f t="shared" si="43"/>
        <v>0000</v>
      </c>
    </row>
    <row r="439" spans="1:6">
      <c r="A439" t="str">
        <f>"T1053-6"</f>
        <v>T1053-6</v>
      </c>
      <c r="B439" t="str">
        <f t="shared" si="46"/>
        <v>VIA GIUSEPPE COLANO  1-</v>
      </c>
      <c r="C439" t="str">
        <f t="shared" si="47"/>
        <v>4</v>
      </c>
      <c r="D439">
        <v>20</v>
      </c>
      <c r="E439" t="str">
        <f>"1300"</f>
        <v>1300</v>
      </c>
      <c r="F439" t="str">
        <f t="shared" si="43"/>
        <v>0000</v>
      </c>
    </row>
    <row r="440" spans="1:6">
      <c r="A440" t="str">
        <f>"T1053-7"</f>
        <v>T1053-7</v>
      </c>
      <c r="B440" t="str">
        <f t="shared" si="46"/>
        <v>VIA GIUSEPPE COLANO  1-</v>
      </c>
      <c r="C440" t="str">
        <f t="shared" si="47"/>
        <v>4</v>
      </c>
      <c r="D440">
        <v>20</v>
      </c>
      <c r="E440" t="str">
        <f>"1299"</f>
        <v>1299</v>
      </c>
      <c r="F440" t="str">
        <f t="shared" si="43"/>
        <v>0000</v>
      </c>
    </row>
    <row r="441" spans="1:6">
      <c r="A441" t="str">
        <f>"T1054-1"</f>
        <v>T1054-1</v>
      </c>
      <c r="B441" t="str">
        <f>"VIA SANT NS DELLA GUARDIA VICINO AL -"</f>
        <v>VIA SANT NS DELLA GUARDIA VICINO AL -</v>
      </c>
      <c r="C441" t="str">
        <f t="shared" si="47"/>
        <v>4</v>
      </c>
      <c r="D441">
        <v>14</v>
      </c>
      <c r="E441" t="str">
        <f>"99999"</f>
        <v>99999</v>
      </c>
      <c r="F441" t="str">
        <f t="shared" si="43"/>
        <v>0000</v>
      </c>
    </row>
    <row r="442" spans="1:6">
      <c r="A442" t="str">
        <f>"T1054-1"</f>
        <v>T1054-1</v>
      </c>
      <c r="B442" t="str">
        <f>"VIA SANT NS DELLA GUARDIA VICINO AL -"</f>
        <v>VIA SANT NS DELLA GUARDIA VICINO AL -</v>
      </c>
      <c r="C442" t="str">
        <f t="shared" si="47"/>
        <v>4</v>
      </c>
      <c r="D442">
        <v>10</v>
      </c>
      <c r="E442" t="str">
        <f>"99999"</f>
        <v>99999</v>
      </c>
      <c r="F442" t="str">
        <f t="shared" si="43"/>
        <v>0000</v>
      </c>
    </row>
    <row r="443" spans="1:6">
      <c r="A443" t="str">
        <f>"T1055-1"</f>
        <v>T1055-1</v>
      </c>
      <c r="B443" t="str">
        <f t="shared" ref="B443:B473" si="48">"VIA MOREGO VICINO AL 57-"</f>
        <v>VIA MOREGO VICINO AL 57-</v>
      </c>
      <c r="C443" t="str">
        <f t="shared" si="47"/>
        <v>4</v>
      </c>
      <c r="D443">
        <v>9</v>
      </c>
      <c r="E443" t="str">
        <f>"380"</f>
        <v>380</v>
      </c>
      <c r="F443" t="str">
        <f t="shared" si="43"/>
        <v>0000</v>
      </c>
    </row>
    <row r="444" spans="1:6">
      <c r="A444" t="str">
        <f>"T1055-2"</f>
        <v>T1055-2</v>
      </c>
      <c r="B444" t="str">
        <f t="shared" si="48"/>
        <v>VIA MOREGO VICINO AL 57-</v>
      </c>
      <c r="C444" t="str">
        <f t="shared" si="47"/>
        <v>4</v>
      </c>
      <c r="D444">
        <v>9</v>
      </c>
      <c r="E444" t="str">
        <f>"955"</f>
        <v>955</v>
      </c>
      <c r="F444" t="str">
        <f t="shared" si="43"/>
        <v>0000</v>
      </c>
    </row>
    <row r="445" spans="1:6">
      <c r="A445" t="str">
        <f>"T1055-3"</f>
        <v>T1055-3</v>
      </c>
      <c r="B445" t="str">
        <f t="shared" si="48"/>
        <v>VIA MOREGO VICINO AL 57-</v>
      </c>
      <c r="C445" t="str">
        <f t="shared" si="47"/>
        <v>4</v>
      </c>
      <c r="D445">
        <v>9</v>
      </c>
      <c r="E445" t="str">
        <f>"1067"</f>
        <v>1067</v>
      </c>
      <c r="F445" t="str">
        <f t="shared" si="43"/>
        <v>0000</v>
      </c>
    </row>
    <row r="446" spans="1:6">
      <c r="A446" t="str">
        <f>"T1055-4"</f>
        <v>T1055-4</v>
      </c>
      <c r="B446" t="str">
        <f t="shared" si="48"/>
        <v>VIA MOREGO VICINO AL 57-</v>
      </c>
      <c r="C446" t="str">
        <f t="shared" si="47"/>
        <v>4</v>
      </c>
      <c r="D446">
        <v>9</v>
      </c>
      <c r="E446" t="str">
        <f>"1307"</f>
        <v>1307</v>
      </c>
      <c r="F446" t="str">
        <f t="shared" si="43"/>
        <v>0000</v>
      </c>
    </row>
    <row r="447" spans="1:6">
      <c r="A447" t="str">
        <f>"T1055-5"</f>
        <v>T1055-5</v>
      </c>
      <c r="B447" t="str">
        <f t="shared" si="48"/>
        <v>VIA MOREGO VICINO AL 57-</v>
      </c>
      <c r="C447" t="str">
        <f t="shared" si="47"/>
        <v>4</v>
      </c>
      <c r="D447">
        <v>9</v>
      </c>
      <c r="E447" t="str">
        <f>"1309"</f>
        <v>1309</v>
      </c>
      <c r="F447" t="str">
        <f t="shared" si="43"/>
        <v>0000</v>
      </c>
    </row>
    <row r="448" spans="1:6">
      <c r="A448" t="str">
        <f>"T1055-6"</f>
        <v>T1055-6</v>
      </c>
      <c r="B448" t="str">
        <f t="shared" si="48"/>
        <v>VIA MOREGO VICINO AL 57-</v>
      </c>
      <c r="C448" t="str">
        <f t="shared" si="47"/>
        <v>4</v>
      </c>
      <c r="D448">
        <v>9</v>
      </c>
      <c r="E448" t="str">
        <f>"1310"</f>
        <v>1310</v>
      </c>
      <c r="F448" t="str">
        <f t="shared" si="43"/>
        <v>0000</v>
      </c>
    </row>
    <row r="449" spans="1:6">
      <c r="A449" t="str">
        <f>"T1055-7"</f>
        <v>T1055-7</v>
      </c>
      <c r="B449" t="str">
        <f t="shared" si="48"/>
        <v>VIA MOREGO VICINO AL 57-</v>
      </c>
      <c r="C449" t="str">
        <f t="shared" si="47"/>
        <v>4</v>
      </c>
      <c r="D449">
        <v>9</v>
      </c>
      <c r="E449" t="str">
        <f>"1317"</f>
        <v>1317</v>
      </c>
      <c r="F449" t="str">
        <f t="shared" si="43"/>
        <v>0000</v>
      </c>
    </row>
    <row r="450" spans="1:6">
      <c r="A450" t="str">
        <f>"T1055-8"</f>
        <v>T1055-8</v>
      </c>
      <c r="B450" t="str">
        <f t="shared" si="48"/>
        <v>VIA MOREGO VICINO AL 57-</v>
      </c>
      <c r="C450" t="str">
        <f t="shared" si="47"/>
        <v>4</v>
      </c>
      <c r="D450">
        <v>9</v>
      </c>
      <c r="E450" t="str">
        <f>"1323"</f>
        <v>1323</v>
      </c>
      <c r="F450" t="str">
        <f t="shared" si="43"/>
        <v>0000</v>
      </c>
    </row>
    <row r="451" spans="1:6">
      <c r="A451" t="str">
        <f>"T1055-9"</f>
        <v>T1055-9</v>
      </c>
      <c r="B451" t="str">
        <f t="shared" si="48"/>
        <v>VIA MOREGO VICINO AL 57-</v>
      </c>
      <c r="C451" t="str">
        <f t="shared" si="47"/>
        <v>4</v>
      </c>
      <c r="D451">
        <v>9</v>
      </c>
      <c r="E451" t="str">
        <f>"1329"</f>
        <v>1329</v>
      </c>
      <c r="F451" t="str">
        <f t="shared" si="43"/>
        <v>0000</v>
      </c>
    </row>
    <row r="452" spans="1:6">
      <c r="A452" t="str">
        <f>"T1055-10"</f>
        <v>T1055-10</v>
      </c>
      <c r="B452" t="str">
        <f t="shared" si="48"/>
        <v>VIA MOREGO VICINO AL 57-</v>
      </c>
      <c r="C452" t="str">
        <f t="shared" si="47"/>
        <v>4</v>
      </c>
      <c r="D452">
        <v>9</v>
      </c>
      <c r="E452" t="str">
        <f>"1333"</f>
        <v>1333</v>
      </c>
      <c r="F452" t="str">
        <f t="shared" si="43"/>
        <v>0000</v>
      </c>
    </row>
    <row r="453" spans="1:6">
      <c r="A453" t="str">
        <f>"T1055-11"</f>
        <v>T1055-11</v>
      </c>
      <c r="B453" t="str">
        <f t="shared" si="48"/>
        <v>VIA MOREGO VICINO AL 57-</v>
      </c>
      <c r="C453" t="str">
        <f t="shared" si="47"/>
        <v>4</v>
      </c>
      <c r="D453">
        <v>9</v>
      </c>
      <c r="E453" t="str">
        <f>"1335"</f>
        <v>1335</v>
      </c>
      <c r="F453" t="str">
        <f t="shared" si="43"/>
        <v>0000</v>
      </c>
    </row>
    <row r="454" spans="1:6">
      <c r="A454" t="str">
        <f>"T1055-12"</f>
        <v>T1055-12</v>
      </c>
      <c r="B454" t="str">
        <f t="shared" si="48"/>
        <v>VIA MOREGO VICINO AL 57-</v>
      </c>
      <c r="C454" t="str">
        <f t="shared" si="47"/>
        <v>4</v>
      </c>
      <c r="D454">
        <v>9</v>
      </c>
      <c r="E454" t="str">
        <f>"1338"</f>
        <v>1338</v>
      </c>
      <c r="F454" t="str">
        <f t="shared" si="43"/>
        <v>0000</v>
      </c>
    </row>
    <row r="455" spans="1:6">
      <c r="A455" t="str">
        <f>"T1055-13"</f>
        <v>T1055-13</v>
      </c>
      <c r="B455" t="str">
        <f t="shared" si="48"/>
        <v>VIA MOREGO VICINO AL 57-</v>
      </c>
      <c r="C455" t="str">
        <f t="shared" si="47"/>
        <v>4</v>
      </c>
      <c r="D455">
        <v>9</v>
      </c>
      <c r="E455" t="str">
        <f>"1342"</f>
        <v>1342</v>
      </c>
      <c r="F455" t="str">
        <f t="shared" si="43"/>
        <v>0000</v>
      </c>
    </row>
    <row r="456" spans="1:6">
      <c r="A456" t="str">
        <f>"T1055-14"</f>
        <v>T1055-14</v>
      </c>
      <c r="B456" t="str">
        <f t="shared" si="48"/>
        <v>VIA MOREGO VICINO AL 57-</v>
      </c>
      <c r="C456" t="str">
        <f t="shared" si="47"/>
        <v>4</v>
      </c>
      <c r="D456">
        <v>9</v>
      </c>
      <c r="E456" t="str">
        <f>"1344"</f>
        <v>1344</v>
      </c>
      <c r="F456" t="str">
        <f t="shared" si="43"/>
        <v>0000</v>
      </c>
    </row>
    <row r="457" spans="1:6">
      <c r="A457" t="str">
        <f>"T1055-15"</f>
        <v>T1055-15</v>
      </c>
      <c r="B457" t="str">
        <f t="shared" si="48"/>
        <v>VIA MOREGO VICINO AL 57-</v>
      </c>
      <c r="C457" t="str">
        <f t="shared" si="47"/>
        <v>4</v>
      </c>
      <c r="D457">
        <v>9</v>
      </c>
      <c r="E457" t="str">
        <f>"1350"</f>
        <v>1350</v>
      </c>
      <c r="F457" t="str">
        <f t="shared" si="43"/>
        <v>0000</v>
      </c>
    </row>
    <row r="458" spans="1:6">
      <c r="A458" t="str">
        <f>"T1055-16"</f>
        <v>T1055-16</v>
      </c>
      <c r="B458" t="str">
        <f t="shared" si="48"/>
        <v>VIA MOREGO VICINO AL 57-</v>
      </c>
      <c r="C458" t="str">
        <f t="shared" si="47"/>
        <v>4</v>
      </c>
      <c r="D458">
        <v>9</v>
      </c>
      <c r="E458" t="str">
        <f>"1331"</f>
        <v>1331</v>
      </c>
      <c r="F458" t="str">
        <f t="shared" si="43"/>
        <v>0000</v>
      </c>
    </row>
    <row r="459" spans="1:6">
      <c r="A459" t="str">
        <f>"T1055-17"</f>
        <v>T1055-17</v>
      </c>
      <c r="B459" t="str">
        <f t="shared" si="48"/>
        <v>VIA MOREGO VICINO AL 57-</v>
      </c>
      <c r="C459" t="str">
        <f t="shared" si="47"/>
        <v>4</v>
      </c>
      <c r="D459">
        <v>9</v>
      </c>
      <c r="E459" t="str">
        <f>"1332"</f>
        <v>1332</v>
      </c>
      <c r="F459" t="str">
        <f t="shared" si="43"/>
        <v>0000</v>
      </c>
    </row>
    <row r="460" spans="1:6">
      <c r="A460" t="str">
        <f>"T1055-18"</f>
        <v>T1055-18</v>
      </c>
      <c r="B460" t="str">
        <f t="shared" si="48"/>
        <v>VIA MOREGO VICINO AL 57-</v>
      </c>
      <c r="C460" t="str">
        <f t="shared" si="47"/>
        <v>4</v>
      </c>
      <c r="D460">
        <v>9</v>
      </c>
      <c r="E460" t="str">
        <f>"1351"</f>
        <v>1351</v>
      </c>
      <c r="F460" t="str">
        <f t="shared" si="43"/>
        <v>0000</v>
      </c>
    </row>
    <row r="461" spans="1:6">
      <c r="A461" t="str">
        <f>"T1055-19"</f>
        <v>T1055-19</v>
      </c>
      <c r="B461" t="str">
        <f t="shared" si="48"/>
        <v>VIA MOREGO VICINO AL 57-</v>
      </c>
      <c r="C461" t="str">
        <f t="shared" si="47"/>
        <v>4</v>
      </c>
      <c r="D461">
        <v>9</v>
      </c>
      <c r="E461" t="str">
        <f>"1354"</f>
        <v>1354</v>
      </c>
      <c r="F461" t="str">
        <f t="shared" si="43"/>
        <v>0000</v>
      </c>
    </row>
    <row r="462" spans="1:6">
      <c r="A462" t="str">
        <f>"T1055-20"</f>
        <v>T1055-20</v>
      </c>
      <c r="B462" t="str">
        <f t="shared" si="48"/>
        <v>VIA MOREGO VICINO AL 57-</v>
      </c>
      <c r="C462" t="str">
        <f t="shared" si="47"/>
        <v>4</v>
      </c>
      <c r="D462">
        <v>9</v>
      </c>
      <c r="E462" t="str">
        <f>"1355"</f>
        <v>1355</v>
      </c>
      <c r="F462" t="str">
        <f t="shared" si="43"/>
        <v>0000</v>
      </c>
    </row>
    <row r="463" spans="1:6">
      <c r="A463" t="str">
        <f>"T1055-21"</f>
        <v>T1055-21</v>
      </c>
      <c r="B463" t="str">
        <f t="shared" si="48"/>
        <v>VIA MOREGO VICINO AL 57-</v>
      </c>
      <c r="C463" t="str">
        <f t="shared" si="47"/>
        <v>4</v>
      </c>
      <c r="D463">
        <v>9</v>
      </c>
      <c r="E463" t="str">
        <f>"1357"</f>
        <v>1357</v>
      </c>
      <c r="F463" t="str">
        <f t="shared" si="43"/>
        <v>0000</v>
      </c>
    </row>
    <row r="464" spans="1:6">
      <c r="A464" t="str">
        <f>"T1055-22"</f>
        <v>T1055-22</v>
      </c>
      <c r="B464" t="str">
        <f t="shared" si="48"/>
        <v>VIA MOREGO VICINO AL 57-</v>
      </c>
      <c r="C464" t="str">
        <f t="shared" si="47"/>
        <v>4</v>
      </c>
      <c r="D464">
        <v>9</v>
      </c>
      <c r="E464" t="str">
        <f>"1361"</f>
        <v>1361</v>
      </c>
      <c r="F464" t="str">
        <f t="shared" si="43"/>
        <v>0000</v>
      </c>
    </row>
    <row r="465" spans="1:6">
      <c r="A465" t="str">
        <f>"T1055-23"</f>
        <v>T1055-23</v>
      </c>
      <c r="B465" t="str">
        <f t="shared" si="48"/>
        <v>VIA MOREGO VICINO AL 57-</v>
      </c>
      <c r="C465" t="str">
        <f t="shared" si="47"/>
        <v>4</v>
      </c>
      <c r="D465">
        <v>8</v>
      </c>
      <c r="E465" t="str">
        <f>"923"</f>
        <v>923</v>
      </c>
      <c r="F465" t="str">
        <f t="shared" si="43"/>
        <v>0000</v>
      </c>
    </row>
    <row r="466" spans="1:6">
      <c r="A466" t="str">
        <f>"T1055-24"</f>
        <v>T1055-24</v>
      </c>
      <c r="B466" t="str">
        <f t="shared" si="48"/>
        <v>VIA MOREGO VICINO AL 57-</v>
      </c>
      <c r="C466" t="str">
        <f t="shared" si="47"/>
        <v>4</v>
      </c>
      <c r="D466">
        <v>9</v>
      </c>
      <c r="E466" t="str">
        <f>"931"</f>
        <v>931</v>
      </c>
      <c r="F466" t="str">
        <f t="shared" si="43"/>
        <v>0000</v>
      </c>
    </row>
    <row r="467" spans="1:6">
      <c r="A467" t="str">
        <f>"T1055-25"</f>
        <v>T1055-25</v>
      </c>
      <c r="B467" t="str">
        <f t="shared" si="48"/>
        <v>VIA MOREGO VICINO AL 57-</v>
      </c>
      <c r="C467" t="str">
        <f t="shared" ref="C467:C494" si="49">"4"</f>
        <v>4</v>
      </c>
      <c r="D467">
        <v>9</v>
      </c>
      <c r="E467" t="str">
        <f>"933"</f>
        <v>933</v>
      </c>
      <c r="F467" t="str">
        <f t="shared" si="43"/>
        <v>0000</v>
      </c>
    </row>
    <row r="468" spans="1:6">
      <c r="A468" t="str">
        <f>"T1055-26"</f>
        <v>T1055-26</v>
      </c>
      <c r="B468" t="str">
        <f t="shared" si="48"/>
        <v>VIA MOREGO VICINO AL 57-</v>
      </c>
      <c r="C468" t="str">
        <f t="shared" si="49"/>
        <v>4</v>
      </c>
      <c r="D468">
        <v>9</v>
      </c>
      <c r="E468" t="str">
        <f>"934"</f>
        <v>934</v>
      </c>
      <c r="F468" t="str">
        <f t="shared" si="43"/>
        <v>0000</v>
      </c>
    </row>
    <row r="469" spans="1:6">
      <c r="A469" t="str">
        <f>"T1055-27"</f>
        <v>T1055-27</v>
      </c>
      <c r="B469" t="str">
        <f t="shared" si="48"/>
        <v>VIA MOREGO VICINO AL 57-</v>
      </c>
      <c r="C469" t="str">
        <f t="shared" si="49"/>
        <v>4</v>
      </c>
      <c r="D469">
        <v>9</v>
      </c>
      <c r="E469" t="str">
        <f>"1136"</f>
        <v>1136</v>
      </c>
      <c r="F469" t="str">
        <f t="shared" si="43"/>
        <v>0000</v>
      </c>
    </row>
    <row r="470" spans="1:6">
      <c r="A470" t="str">
        <f>"T1055-28"</f>
        <v>T1055-28</v>
      </c>
      <c r="B470" t="str">
        <f t="shared" si="48"/>
        <v>VIA MOREGO VICINO AL 57-</v>
      </c>
      <c r="C470" t="str">
        <f t="shared" si="49"/>
        <v>4</v>
      </c>
      <c r="D470">
        <v>9</v>
      </c>
      <c r="E470" t="str">
        <f>"1313"</f>
        <v>1313</v>
      </c>
      <c r="F470" t="str">
        <f t="shared" si="43"/>
        <v>0000</v>
      </c>
    </row>
    <row r="471" spans="1:6">
      <c r="A471" t="str">
        <f>"T1055-29"</f>
        <v>T1055-29</v>
      </c>
      <c r="B471" t="str">
        <f t="shared" si="48"/>
        <v>VIA MOREGO VICINO AL 57-</v>
      </c>
      <c r="C471" t="str">
        <f t="shared" si="49"/>
        <v>4</v>
      </c>
      <c r="D471">
        <v>9</v>
      </c>
      <c r="E471" t="str">
        <f>"713"</f>
        <v>713</v>
      </c>
      <c r="F471" t="str">
        <f t="shared" si="43"/>
        <v>0000</v>
      </c>
    </row>
    <row r="472" spans="1:6">
      <c r="A472" t="str">
        <f>"T1055-30"</f>
        <v>T1055-30</v>
      </c>
      <c r="B472" t="str">
        <f t="shared" si="48"/>
        <v>VIA MOREGO VICINO AL 57-</v>
      </c>
      <c r="C472" t="str">
        <f t="shared" si="49"/>
        <v>4</v>
      </c>
      <c r="D472">
        <v>9</v>
      </c>
      <c r="E472" t="str">
        <f>"1312"</f>
        <v>1312</v>
      </c>
      <c r="F472" t="str">
        <f t="shared" si="43"/>
        <v>0000</v>
      </c>
    </row>
    <row r="473" spans="1:6">
      <c r="A473" t="str">
        <f>"T1055-31"</f>
        <v>T1055-31</v>
      </c>
      <c r="B473" t="str">
        <f t="shared" si="48"/>
        <v>VIA MOREGO VICINO AL 57-</v>
      </c>
      <c r="C473" t="str">
        <f t="shared" si="49"/>
        <v>4</v>
      </c>
      <c r="D473">
        <v>9</v>
      </c>
      <c r="E473" t="str">
        <f>"1359"</f>
        <v>1359</v>
      </c>
      <c r="F473" t="str">
        <f t="shared" si="43"/>
        <v>0000</v>
      </c>
    </row>
    <row r="474" spans="1:6">
      <c r="A474" t="str">
        <f>"T1067-1"</f>
        <v>T1067-1</v>
      </c>
      <c r="B474" t="str">
        <f t="shared" ref="B474:B494" si="50">"VIA MANSUETO VICINO AL 12A-"</f>
        <v>VIA MANSUETO VICINO AL 12A-</v>
      </c>
      <c r="C474" t="str">
        <f t="shared" si="49"/>
        <v>4</v>
      </c>
      <c r="D474">
        <v>36</v>
      </c>
      <c r="E474" t="str">
        <f>"194"</f>
        <v>194</v>
      </c>
      <c r="F474" t="str">
        <f t="shared" si="43"/>
        <v>0000</v>
      </c>
    </row>
    <row r="475" spans="1:6">
      <c r="A475" t="str">
        <f>"T1067-2"</f>
        <v>T1067-2</v>
      </c>
      <c r="B475" t="str">
        <f t="shared" si="50"/>
        <v>VIA MANSUETO VICINO AL 12A-</v>
      </c>
      <c r="C475" t="str">
        <f t="shared" si="49"/>
        <v>4</v>
      </c>
      <c r="D475">
        <v>36</v>
      </c>
      <c r="E475" t="str">
        <f>"193"</f>
        <v>193</v>
      </c>
      <c r="F475" t="str">
        <f t="shared" si="43"/>
        <v>0000</v>
      </c>
    </row>
    <row r="476" spans="1:6">
      <c r="A476" t="str">
        <f>"T1067-3"</f>
        <v>T1067-3</v>
      </c>
      <c r="B476" t="str">
        <f t="shared" si="50"/>
        <v>VIA MANSUETO VICINO AL 12A-</v>
      </c>
      <c r="C476" t="str">
        <f t="shared" si="49"/>
        <v>4</v>
      </c>
      <c r="D476">
        <v>36</v>
      </c>
      <c r="E476" t="str">
        <f>"192"</f>
        <v>192</v>
      </c>
      <c r="F476" t="str">
        <f t="shared" si="43"/>
        <v>0000</v>
      </c>
    </row>
    <row r="477" spans="1:6">
      <c r="A477" t="str">
        <f>"T1067-4"</f>
        <v>T1067-4</v>
      </c>
      <c r="B477" t="str">
        <f t="shared" si="50"/>
        <v>VIA MANSUETO VICINO AL 12A-</v>
      </c>
      <c r="C477" t="str">
        <f t="shared" si="49"/>
        <v>4</v>
      </c>
      <c r="D477">
        <v>36</v>
      </c>
      <c r="E477" t="str">
        <f>"191"</f>
        <v>191</v>
      </c>
      <c r="F477" t="str">
        <f t="shared" si="43"/>
        <v>0000</v>
      </c>
    </row>
    <row r="478" spans="1:6">
      <c r="A478" t="str">
        <f>"T1067-5"</f>
        <v>T1067-5</v>
      </c>
      <c r="B478" t="str">
        <f t="shared" si="50"/>
        <v>VIA MANSUETO VICINO AL 12A-</v>
      </c>
      <c r="C478" t="str">
        <f t="shared" si="49"/>
        <v>4</v>
      </c>
      <c r="D478">
        <v>36</v>
      </c>
      <c r="E478" t="str">
        <f>"942"</f>
        <v>942</v>
      </c>
      <c r="F478" t="str">
        <f t="shared" si="43"/>
        <v>0000</v>
      </c>
    </row>
    <row r="479" spans="1:6">
      <c r="A479" t="str">
        <f>"T1067-6"</f>
        <v>T1067-6</v>
      </c>
      <c r="B479" t="str">
        <f t="shared" si="50"/>
        <v>VIA MANSUETO VICINO AL 12A-</v>
      </c>
      <c r="C479" t="str">
        <f t="shared" si="49"/>
        <v>4</v>
      </c>
      <c r="D479">
        <v>36</v>
      </c>
      <c r="E479" t="str">
        <f>"941"</f>
        <v>941</v>
      </c>
      <c r="F479" t="str">
        <f t="shared" si="43"/>
        <v>0000</v>
      </c>
    </row>
    <row r="480" spans="1:6">
      <c r="A480" t="str">
        <f>"T1067-7"</f>
        <v>T1067-7</v>
      </c>
      <c r="B480" t="str">
        <f t="shared" si="50"/>
        <v>VIA MANSUETO VICINO AL 12A-</v>
      </c>
      <c r="C480" t="str">
        <f t="shared" si="49"/>
        <v>4</v>
      </c>
      <c r="D480">
        <v>36</v>
      </c>
      <c r="E480" t="str">
        <f>"940"</f>
        <v>940</v>
      </c>
      <c r="F480" t="str">
        <f t="shared" si="43"/>
        <v>0000</v>
      </c>
    </row>
    <row r="481" spans="1:6">
      <c r="A481" t="str">
        <f>"T1067-8"</f>
        <v>T1067-8</v>
      </c>
      <c r="B481" t="str">
        <f t="shared" si="50"/>
        <v>VIA MANSUETO VICINO AL 12A-</v>
      </c>
      <c r="C481" t="str">
        <f t="shared" si="49"/>
        <v>4</v>
      </c>
      <c r="D481">
        <v>36</v>
      </c>
      <c r="E481" t="str">
        <f>"939"</f>
        <v>939</v>
      </c>
      <c r="F481" t="str">
        <f t="shared" ref="F481:F494" si="51">"0000"</f>
        <v>0000</v>
      </c>
    </row>
    <row r="482" spans="1:6">
      <c r="A482" t="str">
        <f>"T1067-9"</f>
        <v>T1067-9</v>
      </c>
      <c r="B482" t="str">
        <f t="shared" si="50"/>
        <v>VIA MANSUETO VICINO AL 12A-</v>
      </c>
      <c r="C482" t="str">
        <f t="shared" si="49"/>
        <v>4</v>
      </c>
      <c r="D482">
        <v>36</v>
      </c>
      <c r="E482" t="str">
        <f>"938"</f>
        <v>938</v>
      </c>
      <c r="F482" t="str">
        <f t="shared" si="51"/>
        <v>0000</v>
      </c>
    </row>
    <row r="483" spans="1:6">
      <c r="A483" t="str">
        <f>"T1067-10"</f>
        <v>T1067-10</v>
      </c>
      <c r="B483" t="str">
        <f t="shared" si="50"/>
        <v>VIA MANSUETO VICINO AL 12A-</v>
      </c>
      <c r="C483" t="str">
        <f t="shared" si="49"/>
        <v>4</v>
      </c>
      <c r="D483">
        <v>36</v>
      </c>
      <c r="E483" t="str">
        <f>"225"</f>
        <v>225</v>
      </c>
      <c r="F483" t="str">
        <f t="shared" si="51"/>
        <v>0000</v>
      </c>
    </row>
    <row r="484" spans="1:6">
      <c r="A484" t="str">
        <f>"T1067-11"</f>
        <v>T1067-11</v>
      </c>
      <c r="B484" t="str">
        <f t="shared" si="50"/>
        <v>VIA MANSUETO VICINO AL 12A-</v>
      </c>
      <c r="C484" t="str">
        <f t="shared" si="49"/>
        <v>4</v>
      </c>
      <c r="D484">
        <v>36</v>
      </c>
      <c r="E484" t="str">
        <f>"945"</f>
        <v>945</v>
      </c>
      <c r="F484" t="str">
        <f t="shared" si="51"/>
        <v>0000</v>
      </c>
    </row>
    <row r="485" spans="1:6">
      <c r="A485" t="str">
        <f>"T1067-12"</f>
        <v>T1067-12</v>
      </c>
      <c r="B485" t="str">
        <f t="shared" si="50"/>
        <v>VIA MANSUETO VICINO AL 12A-</v>
      </c>
      <c r="C485" t="str">
        <f t="shared" si="49"/>
        <v>4</v>
      </c>
      <c r="D485">
        <v>36</v>
      </c>
      <c r="E485" t="str">
        <f>"944"</f>
        <v>944</v>
      </c>
      <c r="F485" t="str">
        <f t="shared" si="51"/>
        <v>0000</v>
      </c>
    </row>
    <row r="486" spans="1:6">
      <c r="A486" t="str">
        <f>"T1067-13"</f>
        <v>T1067-13</v>
      </c>
      <c r="B486" t="str">
        <f t="shared" si="50"/>
        <v>VIA MANSUETO VICINO AL 12A-</v>
      </c>
      <c r="C486" t="str">
        <f t="shared" si="49"/>
        <v>4</v>
      </c>
      <c r="D486">
        <v>36</v>
      </c>
      <c r="E486" t="str">
        <f>"943"</f>
        <v>943</v>
      </c>
      <c r="F486" t="str">
        <f t="shared" si="51"/>
        <v>0000</v>
      </c>
    </row>
    <row r="487" spans="1:6">
      <c r="A487" t="str">
        <f>"T1067-14"</f>
        <v>T1067-14</v>
      </c>
      <c r="B487" t="str">
        <f t="shared" si="50"/>
        <v>VIA MANSUETO VICINO AL 12A-</v>
      </c>
      <c r="C487" t="str">
        <f t="shared" si="49"/>
        <v>4</v>
      </c>
      <c r="D487">
        <v>36</v>
      </c>
      <c r="E487" t="str">
        <f>"970"</f>
        <v>970</v>
      </c>
      <c r="F487" t="str">
        <f t="shared" si="51"/>
        <v>0000</v>
      </c>
    </row>
    <row r="488" spans="1:6">
      <c r="A488" t="str">
        <f>"T1067-15"</f>
        <v>T1067-15</v>
      </c>
      <c r="B488" t="str">
        <f t="shared" si="50"/>
        <v>VIA MANSUETO VICINO AL 12A-</v>
      </c>
      <c r="C488" t="str">
        <f t="shared" si="49"/>
        <v>4</v>
      </c>
      <c r="D488">
        <v>36</v>
      </c>
      <c r="E488" t="str">
        <f>"969"</f>
        <v>969</v>
      </c>
      <c r="F488" t="str">
        <f t="shared" si="51"/>
        <v>0000</v>
      </c>
    </row>
    <row r="489" spans="1:6">
      <c r="A489" t="str">
        <f>"T1067-16"</f>
        <v>T1067-16</v>
      </c>
      <c r="B489" t="str">
        <f t="shared" si="50"/>
        <v>VIA MANSUETO VICINO AL 12A-</v>
      </c>
      <c r="C489" t="str">
        <f t="shared" si="49"/>
        <v>4</v>
      </c>
      <c r="D489">
        <v>36</v>
      </c>
      <c r="E489" t="str">
        <f>"947"</f>
        <v>947</v>
      </c>
      <c r="F489" t="str">
        <f t="shared" si="51"/>
        <v>0000</v>
      </c>
    </row>
    <row r="490" spans="1:6">
      <c r="A490" t="str">
        <f>"T1067-17"</f>
        <v>T1067-17</v>
      </c>
      <c r="B490" t="str">
        <f t="shared" si="50"/>
        <v>VIA MANSUETO VICINO AL 12A-</v>
      </c>
      <c r="C490" t="str">
        <f t="shared" si="49"/>
        <v>4</v>
      </c>
      <c r="D490">
        <v>36</v>
      </c>
      <c r="E490" t="str">
        <f>"946"</f>
        <v>946</v>
      </c>
      <c r="F490" t="str">
        <f t="shared" si="51"/>
        <v>0000</v>
      </c>
    </row>
    <row r="491" spans="1:6">
      <c r="A491" t="str">
        <f>"T1067-18"</f>
        <v>T1067-18</v>
      </c>
      <c r="B491" t="str">
        <f t="shared" si="50"/>
        <v>VIA MANSUETO VICINO AL 12A-</v>
      </c>
      <c r="C491" t="str">
        <f t="shared" si="49"/>
        <v>4</v>
      </c>
      <c r="D491">
        <v>36</v>
      </c>
      <c r="E491" t="str">
        <f>"971"</f>
        <v>971</v>
      </c>
      <c r="F491" t="str">
        <f t="shared" si="51"/>
        <v>0000</v>
      </c>
    </row>
    <row r="492" spans="1:6">
      <c r="A492" t="str">
        <f>"T1067-19"</f>
        <v>T1067-19</v>
      </c>
      <c r="B492" t="str">
        <f t="shared" si="50"/>
        <v>VIA MANSUETO VICINO AL 12A-</v>
      </c>
      <c r="C492" t="str">
        <f t="shared" si="49"/>
        <v>4</v>
      </c>
      <c r="D492">
        <v>36</v>
      </c>
      <c r="E492" t="str">
        <f>"195"</f>
        <v>195</v>
      </c>
      <c r="F492" t="str">
        <f t="shared" si="51"/>
        <v>0000</v>
      </c>
    </row>
    <row r="493" spans="1:6">
      <c r="A493" t="str">
        <f>"T1067-20"</f>
        <v>T1067-20</v>
      </c>
      <c r="B493" t="str">
        <f t="shared" si="50"/>
        <v>VIA MANSUETO VICINO AL 12A-</v>
      </c>
      <c r="C493" t="str">
        <f t="shared" si="49"/>
        <v>4</v>
      </c>
      <c r="D493">
        <v>35</v>
      </c>
      <c r="E493" t="str">
        <f>"131"</f>
        <v>131</v>
      </c>
      <c r="F493" t="str">
        <f t="shared" si="51"/>
        <v>0000</v>
      </c>
    </row>
    <row r="494" spans="1:6">
      <c r="A494" t="str">
        <f>"T1067-21"</f>
        <v>T1067-21</v>
      </c>
      <c r="B494" t="str">
        <f t="shared" si="50"/>
        <v>VIA MANSUETO VICINO AL 12A-</v>
      </c>
      <c r="C494" t="str">
        <f t="shared" si="49"/>
        <v>4</v>
      </c>
      <c r="D494">
        <v>36</v>
      </c>
      <c r="E494" t="str">
        <f>"1563"</f>
        <v>1563</v>
      </c>
      <c r="F494" t="str">
        <f t="shared" si="51"/>
        <v>0000</v>
      </c>
    </row>
    <row r="495" spans="1:6">
      <c r="A495" t="str">
        <f>"T1082-1"</f>
        <v>T1082-1</v>
      </c>
      <c r="B495" t="str">
        <f>"VIA LUIGI BOGGIANO  15-"</f>
        <v>VIA LUIGI BOGGIANO  15-</v>
      </c>
      <c r="C495" t="str">
        <f>"BOL"</f>
        <v>BOL</v>
      </c>
      <c r="D495">
        <v>17</v>
      </c>
      <c r="E495" t="str">
        <f>"58"</f>
        <v>58</v>
      </c>
      <c r="F495" t="str">
        <f>"376"</f>
        <v>376</v>
      </c>
    </row>
    <row r="496" spans="1:6">
      <c r="A496" t="str">
        <f>"T1083-1"</f>
        <v>T1083-1</v>
      </c>
      <c r="B496" t="str">
        <f t="shared" ref="B496:B501" si="52">"VIA MOREGO  3-"</f>
        <v>VIA MOREGO  3-</v>
      </c>
      <c r="C496" t="str">
        <f t="shared" ref="C496:C523" si="53">"4"</f>
        <v>4</v>
      </c>
      <c r="D496">
        <v>9</v>
      </c>
      <c r="E496" t="str">
        <f>"1392"</f>
        <v>1392</v>
      </c>
      <c r="F496" t="str">
        <f t="shared" ref="F496:F528" si="54">"0000"</f>
        <v>0000</v>
      </c>
    </row>
    <row r="497" spans="1:6">
      <c r="A497" t="str">
        <f>"T1083-2"</f>
        <v>T1083-2</v>
      </c>
      <c r="B497" t="str">
        <f t="shared" si="52"/>
        <v>VIA MOREGO  3-</v>
      </c>
      <c r="C497" t="str">
        <f t="shared" si="53"/>
        <v>4</v>
      </c>
      <c r="D497">
        <v>9</v>
      </c>
      <c r="E497" t="str">
        <f>"1393"</f>
        <v>1393</v>
      </c>
      <c r="F497" t="str">
        <f t="shared" si="54"/>
        <v>0000</v>
      </c>
    </row>
    <row r="498" spans="1:6">
      <c r="A498" t="str">
        <f>"T1083-3"</f>
        <v>T1083-3</v>
      </c>
      <c r="B498" t="str">
        <f t="shared" si="52"/>
        <v>VIA MOREGO  3-</v>
      </c>
      <c r="C498" t="str">
        <f t="shared" si="53"/>
        <v>4</v>
      </c>
      <c r="D498">
        <v>9</v>
      </c>
      <c r="E498" t="str">
        <f>"1394"</f>
        <v>1394</v>
      </c>
      <c r="F498" t="str">
        <f t="shared" si="54"/>
        <v>0000</v>
      </c>
    </row>
    <row r="499" spans="1:6">
      <c r="A499" t="str">
        <f>"T1083-4"</f>
        <v>T1083-4</v>
      </c>
      <c r="B499" t="str">
        <f t="shared" si="52"/>
        <v>VIA MOREGO  3-</v>
      </c>
      <c r="C499" t="str">
        <f t="shared" si="53"/>
        <v>4</v>
      </c>
      <c r="D499">
        <v>9</v>
      </c>
      <c r="E499" t="str">
        <f>"1395"</f>
        <v>1395</v>
      </c>
      <c r="F499" t="str">
        <f t="shared" si="54"/>
        <v>0000</v>
      </c>
    </row>
    <row r="500" spans="1:6">
      <c r="A500" t="str">
        <f>"T1083-5"</f>
        <v>T1083-5</v>
      </c>
      <c r="B500" t="str">
        <f t="shared" si="52"/>
        <v>VIA MOREGO  3-</v>
      </c>
      <c r="C500" t="str">
        <f t="shared" si="53"/>
        <v>4</v>
      </c>
      <c r="D500">
        <v>9</v>
      </c>
      <c r="E500" t="str">
        <f>"1378"</f>
        <v>1378</v>
      </c>
      <c r="F500" t="str">
        <f t="shared" si="54"/>
        <v>0000</v>
      </c>
    </row>
    <row r="501" spans="1:6">
      <c r="A501" t="str">
        <f>"T1083-6"</f>
        <v>T1083-6</v>
      </c>
      <c r="B501" t="str">
        <f t="shared" si="52"/>
        <v>VIA MOREGO  3-</v>
      </c>
      <c r="C501" t="str">
        <f t="shared" si="53"/>
        <v>4</v>
      </c>
      <c r="D501">
        <v>9</v>
      </c>
      <c r="E501" t="str">
        <f>"1453"</f>
        <v>1453</v>
      </c>
      <c r="F501" t="str">
        <f t="shared" si="54"/>
        <v>0000</v>
      </c>
    </row>
    <row r="502" spans="1:6">
      <c r="A502" t="str">
        <f>"T1087-1"</f>
        <v>T1087-1</v>
      </c>
      <c r="B502" t="str">
        <f>"VIA GIRO DEL VENTO VICINO AL 50-"</f>
        <v>VIA GIRO DEL VENTO VICINO AL 50-</v>
      </c>
      <c r="C502" t="str">
        <f t="shared" si="53"/>
        <v>4</v>
      </c>
      <c r="D502">
        <v>23</v>
      </c>
      <c r="E502" t="str">
        <f>"203"</f>
        <v>203</v>
      </c>
      <c r="F502" t="str">
        <f t="shared" si="54"/>
        <v>0000</v>
      </c>
    </row>
    <row r="503" spans="1:6">
      <c r="A503" t="str">
        <f>"T1087-2"</f>
        <v>T1087-2</v>
      </c>
      <c r="B503" t="str">
        <f>"VIA GIRO DEL VENTO VICINO AL 50-"</f>
        <v>VIA GIRO DEL VENTO VICINO AL 50-</v>
      </c>
      <c r="C503" t="str">
        <f t="shared" si="53"/>
        <v>4</v>
      </c>
      <c r="D503">
        <v>23</v>
      </c>
      <c r="E503" t="str">
        <f>"28"</f>
        <v>28</v>
      </c>
      <c r="F503" t="str">
        <f t="shared" si="54"/>
        <v>0000</v>
      </c>
    </row>
    <row r="504" spans="1:6">
      <c r="A504" t="str">
        <f>"T1087-3"</f>
        <v>T1087-3</v>
      </c>
      <c r="B504" t="str">
        <f>"VIA GIRO DEL VENTO VICINO AL 50-"</f>
        <v>VIA GIRO DEL VENTO VICINO AL 50-</v>
      </c>
      <c r="C504" t="str">
        <f t="shared" si="53"/>
        <v>4</v>
      </c>
      <c r="D504">
        <v>23</v>
      </c>
      <c r="E504" t="str">
        <f>"204"</f>
        <v>204</v>
      </c>
      <c r="F504" t="str">
        <f t="shared" si="54"/>
        <v>0000</v>
      </c>
    </row>
    <row r="505" spans="1:6">
      <c r="A505" t="str">
        <f>"T1090-1"</f>
        <v>T1090-1</v>
      </c>
      <c r="B505" t="str">
        <f>"PIAZZA FRANCESCO RISMONDO  2-"</f>
        <v>PIAZZA FRANCESCO RISMONDO  2-</v>
      </c>
      <c r="C505" t="str">
        <f t="shared" si="53"/>
        <v>4</v>
      </c>
      <c r="D505">
        <v>17</v>
      </c>
      <c r="E505" t="str">
        <f>"187"</f>
        <v>187</v>
      </c>
      <c r="F505" t="str">
        <f t="shared" si="54"/>
        <v>0000</v>
      </c>
    </row>
    <row r="506" spans="1:6">
      <c r="A506" t="str">
        <f>"T1093-1"</f>
        <v>T1093-1</v>
      </c>
      <c r="B506" t="str">
        <f>"VIA TEGLIA VICINO AL 1-"</f>
        <v>VIA TEGLIA VICINO AL 1-</v>
      </c>
      <c r="C506" t="str">
        <f t="shared" si="53"/>
        <v>4</v>
      </c>
      <c r="D506">
        <v>24</v>
      </c>
      <c r="E506" t="str">
        <f>"777"</f>
        <v>777</v>
      </c>
      <c r="F506" t="str">
        <f t="shared" si="54"/>
        <v>0000</v>
      </c>
    </row>
    <row r="507" spans="1:6">
      <c r="A507" t="str">
        <f>"T1093-2"</f>
        <v>T1093-2</v>
      </c>
      <c r="B507" t="str">
        <f>"VIA TEGLIA VICINO AL 1-"</f>
        <v>VIA TEGLIA VICINO AL 1-</v>
      </c>
      <c r="C507" t="str">
        <f t="shared" si="53"/>
        <v>4</v>
      </c>
      <c r="D507">
        <v>24</v>
      </c>
      <c r="E507" t="str">
        <f>"778"</f>
        <v>778</v>
      </c>
      <c r="F507" t="str">
        <f t="shared" si="54"/>
        <v>0000</v>
      </c>
    </row>
    <row r="508" spans="1:6">
      <c r="A508" t="str">
        <f>"T1093-3"</f>
        <v>T1093-3</v>
      </c>
      <c r="B508" t="str">
        <f>"VIA TEGLIA VICINO AL 1-"</f>
        <v>VIA TEGLIA VICINO AL 1-</v>
      </c>
      <c r="C508" t="str">
        <f t="shared" si="53"/>
        <v>4</v>
      </c>
      <c r="D508">
        <v>24</v>
      </c>
      <c r="E508" t="str">
        <f>"776"</f>
        <v>776</v>
      </c>
      <c r="F508" t="str">
        <f t="shared" si="54"/>
        <v>0000</v>
      </c>
    </row>
    <row r="509" spans="1:6">
      <c r="A509" t="str">
        <f>"T1097-2"</f>
        <v>T1097-2</v>
      </c>
      <c r="B509" t="str">
        <f>"VIA LUIGI M. LEVATI VICINO AL 3-"</f>
        <v>VIA LUIGI M. LEVATI VICINO AL 3-</v>
      </c>
      <c r="C509" t="str">
        <f t="shared" si="53"/>
        <v>4</v>
      </c>
      <c r="D509">
        <v>10</v>
      </c>
      <c r="E509" t="str">
        <f>"881"</f>
        <v>881</v>
      </c>
      <c r="F509" t="str">
        <f t="shared" si="54"/>
        <v>0000</v>
      </c>
    </row>
    <row r="510" spans="1:6">
      <c r="A510" t="str">
        <f>"T1100-1"</f>
        <v>T1100-1</v>
      </c>
      <c r="B510" t="str">
        <f>"VIA VIRGILIO BROCCHI  18D-"</f>
        <v>VIA VIRGILIO BROCCHI  18D-</v>
      </c>
      <c r="C510" t="str">
        <f t="shared" si="53"/>
        <v>4</v>
      </c>
      <c r="D510">
        <v>27</v>
      </c>
      <c r="E510" t="str">
        <f>"82"</f>
        <v>82</v>
      </c>
      <c r="F510" t="str">
        <f t="shared" si="54"/>
        <v>0000</v>
      </c>
    </row>
    <row r="511" spans="1:6">
      <c r="A511" t="str">
        <f>"T1111-1"</f>
        <v>T1111-1</v>
      </c>
      <c r="B511" t="str">
        <f>"VIA RIVAROLO SITO NEL 47-"</f>
        <v>VIA RIVAROLO SITO NEL 47-</v>
      </c>
      <c r="C511" t="str">
        <f t="shared" si="53"/>
        <v>4</v>
      </c>
      <c r="D511">
        <v>26</v>
      </c>
      <c r="E511" t="str">
        <f>"2050"</f>
        <v>2050</v>
      </c>
      <c r="F511" t="str">
        <f t="shared" si="54"/>
        <v>0000</v>
      </c>
    </row>
    <row r="512" spans="1:6">
      <c r="A512" t="str">
        <f>"T1111-2"</f>
        <v>T1111-2</v>
      </c>
      <c r="B512" t="str">
        <f>"VIA RIVAROLO SITO NEL 47-"</f>
        <v>VIA RIVAROLO SITO NEL 47-</v>
      </c>
      <c r="C512" t="str">
        <f t="shared" si="53"/>
        <v>4</v>
      </c>
      <c r="D512">
        <v>26</v>
      </c>
      <c r="E512" t="str">
        <f>"2049"</f>
        <v>2049</v>
      </c>
      <c r="F512" t="str">
        <f t="shared" si="54"/>
        <v>0000</v>
      </c>
    </row>
    <row r="513" spans="1:6">
      <c r="A513" t="str">
        <f>"T1111-3"</f>
        <v>T1111-3</v>
      </c>
      <c r="B513" t="str">
        <f>"VIA RIVAROLO SITO NEL 47-"</f>
        <v>VIA RIVAROLO SITO NEL 47-</v>
      </c>
      <c r="C513" t="str">
        <f t="shared" si="53"/>
        <v>4</v>
      </c>
      <c r="D513">
        <v>26</v>
      </c>
      <c r="E513" t="str">
        <f>"2053"</f>
        <v>2053</v>
      </c>
      <c r="F513" t="str">
        <f t="shared" si="54"/>
        <v>0000</v>
      </c>
    </row>
    <row r="514" spans="1:6">
      <c r="A514" t="str">
        <f>"T1111-4"</f>
        <v>T1111-4</v>
      </c>
      <c r="B514" t="str">
        <f>"VIA RIVAROLO SITO NEL 47-"</f>
        <v>VIA RIVAROLO SITO NEL 47-</v>
      </c>
      <c r="C514" t="str">
        <f t="shared" si="53"/>
        <v>4</v>
      </c>
      <c r="D514">
        <v>26</v>
      </c>
      <c r="E514" t="str">
        <f>"2051"</f>
        <v>2051</v>
      </c>
      <c r="F514" t="str">
        <f t="shared" si="54"/>
        <v>0000</v>
      </c>
    </row>
    <row r="515" spans="1:6">
      <c r="A515" t="str">
        <f>"T1111-5"</f>
        <v>T1111-5</v>
      </c>
      <c r="B515" t="str">
        <f>"VIA RIVAROLO SITO NEL 47-"</f>
        <v>VIA RIVAROLO SITO NEL 47-</v>
      </c>
      <c r="C515" t="str">
        <f t="shared" si="53"/>
        <v>4</v>
      </c>
      <c r="D515">
        <v>26</v>
      </c>
      <c r="E515" t="str">
        <f>"2054"</f>
        <v>2054</v>
      </c>
      <c r="F515" t="str">
        <f t="shared" si="54"/>
        <v>0000</v>
      </c>
    </row>
    <row r="516" spans="1:6">
      <c r="A516" t="str">
        <f>"T1112-1"</f>
        <v>T1112-1</v>
      </c>
      <c r="B516" t="str">
        <f>"VIA GEMINIANO VICINO AL 27A-"</f>
        <v>VIA GEMINIANO VICINO AL 27A-</v>
      </c>
      <c r="C516" t="str">
        <f t="shared" si="53"/>
        <v>4</v>
      </c>
      <c r="D516">
        <v>27</v>
      </c>
      <c r="E516" t="str">
        <f>"49"</f>
        <v>49</v>
      </c>
      <c r="F516" t="str">
        <f t="shared" si="54"/>
        <v>0000</v>
      </c>
    </row>
    <row r="517" spans="1:6">
      <c r="A517" t="str">
        <f>"T1112-2"</f>
        <v>T1112-2</v>
      </c>
      <c r="B517" t="str">
        <f>"VIA GEMINIANO VICINO AL 27A-"</f>
        <v>VIA GEMINIANO VICINO AL 27A-</v>
      </c>
      <c r="C517" t="str">
        <f t="shared" si="53"/>
        <v>4</v>
      </c>
      <c r="D517">
        <v>27</v>
      </c>
      <c r="E517" t="str">
        <f>"48"</f>
        <v>48</v>
      </c>
      <c r="F517" t="str">
        <f t="shared" si="54"/>
        <v>0000</v>
      </c>
    </row>
    <row r="518" spans="1:6">
      <c r="A518" t="str">
        <f>"T1116-1"</f>
        <v>T1116-1</v>
      </c>
      <c r="B518" t="str">
        <f>"VIA CONI ZUGNA VICINO AL 22-"</f>
        <v>VIA CONI ZUGNA VICINO AL 22-</v>
      </c>
      <c r="C518" t="str">
        <f t="shared" si="53"/>
        <v>4</v>
      </c>
      <c r="D518">
        <v>3</v>
      </c>
      <c r="E518" t="str">
        <f>"371"</f>
        <v>371</v>
      </c>
      <c r="F518" t="str">
        <f t="shared" si="54"/>
        <v>0000</v>
      </c>
    </row>
    <row r="519" spans="1:6">
      <c r="A519" t="str">
        <f>"T1116-2"</f>
        <v>T1116-2</v>
      </c>
      <c r="B519" t="str">
        <f>"VIA CONI ZUGNA VICINO AL 22-"</f>
        <v>VIA CONI ZUGNA VICINO AL 22-</v>
      </c>
      <c r="C519" t="str">
        <f t="shared" si="53"/>
        <v>4</v>
      </c>
      <c r="D519">
        <v>3</v>
      </c>
      <c r="E519" t="str">
        <f>"235"</f>
        <v>235</v>
      </c>
      <c r="F519" t="str">
        <f t="shared" si="54"/>
        <v>0000</v>
      </c>
    </row>
    <row r="520" spans="1:6">
      <c r="A520" t="str">
        <f>"T1130-1"</f>
        <v>T1130-1</v>
      </c>
      <c r="B520" t="str">
        <f>"VIA TOFANE VICINO AL 83-"</f>
        <v>VIA TOFANE VICINO AL 83-</v>
      </c>
      <c r="C520" t="str">
        <f t="shared" si="53"/>
        <v>4</v>
      </c>
      <c r="D520">
        <v>26</v>
      </c>
      <c r="E520" t="str">
        <f>"610"</f>
        <v>610</v>
      </c>
      <c r="F520" t="str">
        <f t="shared" si="54"/>
        <v>0000</v>
      </c>
    </row>
    <row r="521" spans="1:6">
      <c r="A521" t="str">
        <f>"T1130-2"</f>
        <v>T1130-2</v>
      </c>
      <c r="B521" t="str">
        <f>"VIA TOFANE VICINO AL 83-"</f>
        <v>VIA TOFANE VICINO AL 83-</v>
      </c>
      <c r="C521" t="str">
        <f t="shared" si="53"/>
        <v>4</v>
      </c>
      <c r="D521">
        <v>26</v>
      </c>
      <c r="E521" t="str">
        <f>"1378"</f>
        <v>1378</v>
      </c>
      <c r="F521" t="str">
        <f t="shared" si="54"/>
        <v>0000</v>
      </c>
    </row>
    <row r="522" spans="1:6">
      <c r="A522" t="str">
        <f>"T1131-1"</f>
        <v>T1131-1</v>
      </c>
      <c r="B522" t="str">
        <f>"VIA ASILO INFANTILE MURTA VICINO AL 34-"</f>
        <v>VIA ASILO INFANTILE MURTA VICINO AL 34-</v>
      </c>
      <c r="C522" t="str">
        <f t="shared" si="53"/>
        <v>4</v>
      </c>
      <c r="D522">
        <v>15</v>
      </c>
      <c r="E522" t="str">
        <f>"A"</f>
        <v>A</v>
      </c>
      <c r="F522" t="str">
        <f t="shared" si="54"/>
        <v>0000</v>
      </c>
    </row>
    <row r="523" spans="1:6">
      <c r="A523" t="str">
        <f>"T1139-1"</f>
        <v>T1139-1</v>
      </c>
      <c r="B523" t="str">
        <f>"PIAZZA RICCARDO DE CAROLI VICINO AL 39R-"</f>
        <v>PIAZZA RICCARDO DE CAROLI VICINO AL 39R-</v>
      </c>
      <c r="C523" t="str">
        <f t="shared" si="53"/>
        <v>4</v>
      </c>
      <c r="D523">
        <v>24</v>
      </c>
      <c r="E523" t="str">
        <f>"823"</f>
        <v>823</v>
      </c>
      <c r="F523" t="str">
        <f t="shared" si="54"/>
        <v>0000</v>
      </c>
    </row>
    <row r="524" spans="1:6">
      <c r="A524" t="str">
        <f>"T1139-1"</f>
        <v>T1139-1</v>
      </c>
      <c r="B524" t="str">
        <f>"PIAZZA RICCARDO DE CAROLI VICINO AL 39R-"</f>
        <v>PIAZZA RICCARDO DE CAROLI VICINO AL 39R-</v>
      </c>
      <c r="C524" t="str">
        <f>"RIV"</f>
        <v>RIV</v>
      </c>
      <c r="D524">
        <v>24</v>
      </c>
      <c r="E524" t="str">
        <f>"823"</f>
        <v>823</v>
      </c>
      <c r="F524" t="str">
        <f t="shared" si="54"/>
        <v>0000</v>
      </c>
    </row>
    <row r="525" spans="1:6">
      <c r="A525" t="str">
        <f>"T1149-1"</f>
        <v>T1149-1</v>
      </c>
      <c r="B525" t="str">
        <f>"LUNGO POLCEVERA VICINO AL 6-"</f>
        <v>LUNGO POLCEVERA VICINO AL 6-</v>
      </c>
      <c r="C525" t="str">
        <f>"4"</f>
        <v>4</v>
      </c>
      <c r="D525">
        <v>7</v>
      </c>
      <c r="E525" t="str">
        <f>"1205"</f>
        <v>1205</v>
      </c>
      <c r="F525" t="str">
        <f t="shared" si="54"/>
        <v>0000</v>
      </c>
    </row>
    <row r="526" spans="1:6">
      <c r="A526" t="str">
        <f>"T1149-2"</f>
        <v>T1149-2</v>
      </c>
      <c r="B526" t="str">
        <f>"LUNGO POLCEVERA VICINO AL 6-"</f>
        <v>LUNGO POLCEVERA VICINO AL 6-</v>
      </c>
      <c r="C526" t="str">
        <f>"4"</f>
        <v>4</v>
      </c>
      <c r="D526">
        <v>7</v>
      </c>
      <c r="E526" t="str">
        <f>"1206"</f>
        <v>1206</v>
      </c>
      <c r="F526" t="str">
        <f t="shared" si="54"/>
        <v>0000</v>
      </c>
    </row>
    <row r="527" spans="1:6">
      <c r="A527" t="str">
        <f>"T1149-3"</f>
        <v>T1149-3</v>
      </c>
      <c r="B527" t="str">
        <f>"LUNGO POLCEVERA VICINO AL 6-"</f>
        <v>LUNGO POLCEVERA VICINO AL 6-</v>
      </c>
      <c r="C527" t="str">
        <f>"4"</f>
        <v>4</v>
      </c>
      <c r="D527">
        <v>7</v>
      </c>
      <c r="E527" t="str">
        <f>"1208"</f>
        <v>1208</v>
      </c>
      <c r="F527" t="str">
        <f t="shared" si="54"/>
        <v>0000</v>
      </c>
    </row>
    <row r="528" spans="1:6">
      <c r="A528" t="str">
        <f>"T1149-4"</f>
        <v>T1149-4</v>
      </c>
      <c r="B528" t="str">
        <f>"LUNGO POLCEVERA VICINO AL 6-"</f>
        <v>LUNGO POLCEVERA VICINO AL 6-</v>
      </c>
      <c r="C528" t="str">
        <f>"4"</f>
        <v>4</v>
      </c>
      <c r="D528">
        <v>7</v>
      </c>
      <c r="E528" t="str">
        <f>"1209"</f>
        <v>1209</v>
      </c>
      <c r="F528" t="str">
        <f t="shared" si="54"/>
        <v>0000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26"/>
  <sheetViews>
    <sheetView workbookViewId="0">
      <selection sqref="A1:F1"/>
    </sheetView>
  </sheetViews>
  <sheetFormatPr defaultRowHeight="12.75"/>
  <cols>
    <col min="1" max="1" width="19.5703125" bestFit="1" customWidth="1"/>
    <col min="2" max="2" width="43.85546875" bestFit="1" customWidth="1"/>
    <col min="5" max="5" width="10" bestFit="1" customWidth="1"/>
  </cols>
  <sheetData>
    <row r="1" spans="1:6">
      <c r="A1" s="1" t="str">
        <f>"codice identificativo"</f>
        <v>codice identificativo</v>
      </c>
      <c r="B1" s="1" t="str">
        <f>"Indirizzo/Località"</f>
        <v>Indirizzo/Località</v>
      </c>
      <c r="C1" s="1" t="str">
        <f>"SEZIONE"</f>
        <v>SEZIONE</v>
      </c>
      <c r="D1" s="1" t="str">
        <f>"FOGLIO"</f>
        <v>FOGLIO</v>
      </c>
      <c r="E1" s="1" t="str">
        <f>"MAPPALE"</f>
        <v>MAPPALE</v>
      </c>
      <c r="F1" s="1" t="str">
        <f>"SUB"</f>
        <v>SUB</v>
      </c>
    </row>
    <row r="2" spans="1:6">
      <c r="A2" t="str">
        <f>"T398-1"</f>
        <v>T398-1</v>
      </c>
      <c r="B2" t="str">
        <f t="shared" ref="B2:B13" si="0">"VIA SAN GIOVANNI BATTISTA VICINO AL 19-"</f>
        <v>VIA SAN GIOVANNI BATTISTA VICINO AL 19-</v>
      </c>
      <c r="C2" t="str">
        <f t="shared" ref="C2:C23" si="1">"3"</f>
        <v>3</v>
      </c>
      <c r="D2">
        <v>53</v>
      </c>
      <c r="E2" t="str">
        <f>"124"</f>
        <v>124</v>
      </c>
      <c r="F2" t="str">
        <f t="shared" ref="F2:F28" si="2">"0000"</f>
        <v>0000</v>
      </c>
    </row>
    <row r="3" spans="1:6">
      <c r="A3" t="str">
        <f>"T398-2"</f>
        <v>T398-2</v>
      </c>
      <c r="B3" t="str">
        <f t="shared" si="0"/>
        <v>VIA SAN GIOVANNI BATTISTA VICINO AL 19-</v>
      </c>
      <c r="C3" t="str">
        <f t="shared" si="1"/>
        <v>3</v>
      </c>
      <c r="D3">
        <v>53</v>
      </c>
      <c r="E3" t="str">
        <f>"125"</f>
        <v>125</v>
      </c>
      <c r="F3" t="str">
        <f t="shared" si="2"/>
        <v>0000</v>
      </c>
    </row>
    <row r="4" spans="1:6">
      <c r="A4" t="str">
        <f>"T398-3"</f>
        <v>T398-3</v>
      </c>
      <c r="B4" t="str">
        <f t="shared" si="0"/>
        <v>VIA SAN GIOVANNI BATTISTA VICINO AL 19-</v>
      </c>
      <c r="C4" t="str">
        <f t="shared" si="1"/>
        <v>3</v>
      </c>
      <c r="D4">
        <v>53</v>
      </c>
      <c r="E4" t="str">
        <f>"126"</f>
        <v>126</v>
      </c>
      <c r="F4" t="str">
        <f t="shared" si="2"/>
        <v>0000</v>
      </c>
    </row>
    <row r="5" spans="1:6">
      <c r="A5" t="str">
        <f>"T398-4"</f>
        <v>T398-4</v>
      </c>
      <c r="B5" t="str">
        <f t="shared" si="0"/>
        <v>VIA SAN GIOVANNI BATTISTA VICINO AL 19-</v>
      </c>
      <c r="C5" t="str">
        <f t="shared" si="1"/>
        <v>3</v>
      </c>
      <c r="D5">
        <v>53</v>
      </c>
      <c r="E5" t="str">
        <f>"127"</f>
        <v>127</v>
      </c>
      <c r="F5" t="str">
        <f t="shared" si="2"/>
        <v>0000</v>
      </c>
    </row>
    <row r="6" spans="1:6">
      <c r="A6" t="str">
        <f>"T398-5"</f>
        <v>T398-5</v>
      </c>
      <c r="B6" t="str">
        <f t="shared" si="0"/>
        <v>VIA SAN GIOVANNI BATTISTA VICINO AL 19-</v>
      </c>
      <c r="C6" t="str">
        <f t="shared" si="1"/>
        <v>3</v>
      </c>
      <c r="D6">
        <v>53</v>
      </c>
      <c r="E6" t="str">
        <f>"206"</f>
        <v>206</v>
      </c>
      <c r="F6" t="str">
        <f t="shared" si="2"/>
        <v>0000</v>
      </c>
    </row>
    <row r="7" spans="1:6">
      <c r="A7" t="str">
        <f>"T398-6"</f>
        <v>T398-6</v>
      </c>
      <c r="B7" t="str">
        <f t="shared" si="0"/>
        <v>VIA SAN GIOVANNI BATTISTA VICINO AL 19-</v>
      </c>
      <c r="C7" t="str">
        <f t="shared" si="1"/>
        <v>3</v>
      </c>
      <c r="D7">
        <v>53</v>
      </c>
      <c r="E7" t="str">
        <f>"205"</f>
        <v>205</v>
      </c>
      <c r="F7" t="str">
        <f t="shared" si="2"/>
        <v>0000</v>
      </c>
    </row>
    <row r="8" spans="1:6">
      <c r="A8" t="str">
        <f>"T398-8"</f>
        <v>T398-8</v>
      </c>
      <c r="B8" t="str">
        <f t="shared" si="0"/>
        <v>VIA SAN GIOVANNI BATTISTA VICINO AL 19-</v>
      </c>
      <c r="C8" t="str">
        <f t="shared" si="1"/>
        <v>3</v>
      </c>
      <c r="D8">
        <v>55</v>
      </c>
      <c r="E8" t="str">
        <f>"37"</f>
        <v>37</v>
      </c>
      <c r="F8" t="str">
        <f t="shared" si="2"/>
        <v>0000</v>
      </c>
    </row>
    <row r="9" spans="1:6">
      <c r="A9" t="str">
        <f>"T398-9"</f>
        <v>T398-9</v>
      </c>
      <c r="B9" t="str">
        <f t="shared" si="0"/>
        <v>VIA SAN GIOVANNI BATTISTA VICINO AL 19-</v>
      </c>
      <c r="C9" t="str">
        <f t="shared" si="1"/>
        <v>3</v>
      </c>
      <c r="D9">
        <v>55</v>
      </c>
      <c r="E9" t="str">
        <f>"39"</f>
        <v>39</v>
      </c>
      <c r="F9" t="str">
        <f t="shared" si="2"/>
        <v>0000</v>
      </c>
    </row>
    <row r="10" spans="1:6">
      <c r="A10" t="str">
        <f>"T398-10"</f>
        <v>T398-10</v>
      </c>
      <c r="B10" t="str">
        <f t="shared" si="0"/>
        <v>VIA SAN GIOVANNI BATTISTA VICINO AL 19-</v>
      </c>
      <c r="C10" t="str">
        <f t="shared" si="1"/>
        <v>3</v>
      </c>
      <c r="D10">
        <v>55</v>
      </c>
      <c r="E10" t="str">
        <f>"46"</f>
        <v>46</v>
      </c>
      <c r="F10" t="str">
        <f t="shared" si="2"/>
        <v>0000</v>
      </c>
    </row>
    <row r="11" spans="1:6">
      <c r="A11" t="str">
        <f>"T398-11"</f>
        <v>T398-11</v>
      </c>
      <c r="B11" t="str">
        <f t="shared" si="0"/>
        <v>VIA SAN GIOVANNI BATTISTA VICINO AL 19-</v>
      </c>
      <c r="C11" t="str">
        <f t="shared" si="1"/>
        <v>3</v>
      </c>
      <c r="D11">
        <v>55</v>
      </c>
      <c r="E11" t="str">
        <f>"513"</f>
        <v>513</v>
      </c>
      <c r="F11" t="str">
        <f t="shared" si="2"/>
        <v>0000</v>
      </c>
    </row>
    <row r="12" spans="1:6">
      <c r="A12" t="str">
        <f>"T398-12"</f>
        <v>T398-12</v>
      </c>
      <c r="B12" t="str">
        <f t="shared" si="0"/>
        <v>VIA SAN GIOVANNI BATTISTA VICINO AL 19-</v>
      </c>
      <c r="C12" t="str">
        <f t="shared" si="1"/>
        <v>3</v>
      </c>
      <c r="D12">
        <v>55</v>
      </c>
      <c r="E12" t="str">
        <f>"272"</f>
        <v>272</v>
      </c>
      <c r="F12" t="str">
        <f t="shared" si="2"/>
        <v>0000</v>
      </c>
    </row>
    <row r="13" spans="1:6">
      <c r="A13" t="str">
        <f>"T398-13"</f>
        <v>T398-13</v>
      </c>
      <c r="B13" t="str">
        <f t="shared" si="0"/>
        <v>VIA SAN GIOVANNI BATTISTA VICINO AL 19-</v>
      </c>
      <c r="C13" t="str">
        <f t="shared" si="1"/>
        <v>3</v>
      </c>
      <c r="D13">
        <v>55</v>
      </c>
      <c r="E13" t="str">
        <f>"774"</f>
        <v>774</v>
      </c>
      <c r="F13" t="str">
        <f t="shared" si="2"/>
        <v>0000</v>
      </c>
    </row>
    <row r="14" spans="1:6">
      <c r="A14" t="str">
        <f>"T419-1"</f>
        <v>T419-1</v>
      </c>
      <c r="B14" t="str">
        <f>"VIA LODOVICO CALDA VICINO AL 27C-"</f>
        <v>VIA LODOVICO CALDA VICINO AL 27C-</v>
      </c>
      <c r="C14" t="str">
        <f t="shared" si="1"/>
        <v>3</v>
      </c>
      <c r="D14">
        <v>76</v>
      </c>
      <c r="E14" t="str">
        <f>"81"</f>
        <v>81</v>
      </c>
      <c r="F14" t="str">
        <f t="shared" si="2"/>
        <v>0000</v>
      </c>
    </row>
    <row r="15" spans="1:6">
      <c r="A15" t="str">
        <f>"T423-1"</f>
        <v>T423-1</v>
      </c>
      <c r="B15" t="str">
        <f>"VIA PIER DOM.DA BISSONE  3A-"</f>
        <v>VIA PIER DOM.DA BISSONE  3A-</v>
      </c>
      <c r="C15" t="str">
        <f t="shared" si="1"/>
        <v>3</v>
      </c>
      <c r="D15">
        <v>70</v>
      </c>
      <c r="E15" t="str">
        <f>"54"</f>
        <v>54</v>
      </c>
      <c r="F15" t="str">
        <f t="shared" si="2"/>
        <v>0000</v>
      </c>
    </row>
    <row r="16" spans="1:6">
      <c r="A16" t="str">
        <f>"T426-1"</f>
        <v>T426-1</v>
      </c>
      <c r="B16" t="str">
        <f>"VIA VADO  39-"</f>
        <v>VIA VADO  39-</v>
      </c>
      <c r="C16" t="str">
        <f t="shared" si="1"/>
        <v>3</v>
      </c>
      <c r="D16">
        <v>55</v>
      </c>
      <c r="E16" t="str">
        <f>"118"</f>
        <v>118</v>
      </c>
      <c r="F16" t="str">
        <f t="shared" si="2"/>
        <v>0000</v>
      </c>
    </row>
    <row r="17" spans="1:6">
      <c r="A17" t="str">
        <f>"T426-2"</f>
        <v>T426-2</v>
      </c>
      <c r="B17" t="str">
        <f>"VIA VADO  39-"</f>
        <v>VIA VADO  39-</v>
      </c>
      <c r="C17" t="str">
        <f t="shared" si="1"/>
        <v>3</v>
      </c>
      <c r="D17">
        <v>55</v>
      </c>
      <c r="E17" t="str">
        <f>"120"</f>
        <v>120</v>
      </c>
      <c r="F17" t="str">
        <f t="shared" si="2"/>
        <v>0000</v>
      </c>
    </row>
    <row r="18" spans="1:6">
      <c r="A18" t="str">
        <f>"T426-3"</f>
        <v>T426-3</v>
      </c>
      <c r="B18" t="str">
        <f>"VIA VADO  39-"</f>
        <v>VIA VADO  39-</v>
      </c>
      <c r="C18" t="str">
        <f t="shared" si="1"/>
        <v>3</v>
      </c>
      <c r="D18">
        <v>55</v>
      </c>
      <c r="E18" t="str">
        <f>"124"</f>
        <v>124</v>
      </c>
      <c r="F18" t="str">
        <f t="shared" si="2"/>
        <v>0000</v>
      </c>
    </row>
    <row r="19" spans="1:6">
      <c r="A19" t="str">
        <f>"T426-4"</f>
        <v>T426-4</v>
      </c>
      <c r="B19" t="str">
        <f>"VIA VADO  39-"</f>
        <v>VIA VADO  39-</v>
      </c>
      <c r="C19" t="str">
        <f t="shared" si="1"/>
        <v>3</v>
      </c>
      <c r="D19">
        <v>55</v>
      </c>
      <c r="E19" t="str">
        <f>"386"</f>
        <v>386</v>
      </c>
      <c r="F19" t="str">
        <f t="shared" si="2"/>
        <v>0000</v>
      </c>
    </row>
    <row r="20" spans="1:6">
      <c r="A20" t="str">
        <f>"T426-5"</f>
        <v>T426-5</v>
      </c>
      <c r="B20" t="str">
        <f>"VIA VADO  39-"</f>
        <v>VIA VADO  39-</v>
      </c>
      <c r="C20" t="str">
        <f t="shared" si="1"/>
        <v>3</v>
      </c>
      <c r="D20">
        <v>55</v>
      </c>
      <c r="E20" t="str">
        <f>"A"</f>
        <v>A</v>
      </c>
      <c r="F20" t="str">
        <f t="shared" si="2"/>
        <v>0000</v>
      </c>
    </row>
    <row r="21" spans="1:6">
      <c r="A21" t="str">
        <f>"T428-1"</f>
        <v>T428-1</v>
      </c>
      <c r="B21" t="str">
        <f>"VIA ANTONIO SANT' ELIA  108-"</f>
        <v>VIA ANTONIO SANT' ELIA  108-</v>
      </c>
      <c r="C21" t="str">
        <f t="shared" si="1"/>
        <v>3</v>
      </c>
      <c r="D21">
        <v>71</v>
      </c>
      <c r="E21" t="str">
        <f>"86"</f>
        <v>86</v>
      </c>
      <c r="F21" t="str">
        <f t="shared" si="2"/>
        <v>0000</v>
      </c>
    </row>
    <row r="22" spans="1:6">
      <c r="A22" t="str">
        <f>"T428-2"</f>
        <v>T428-2</v>
      </c>
      <c r="B22" t="str">
        <f>"VIA ANTONIO SANT' ELIA  108-"</f>
        <v>VIA ANTONIO SANT' ELIA  108-</v>
      </c>
      <c r="C22" t="str">
        <f t="shared" si="1"/>
        <v>3</v>
      </c>
      <c r="D22">
        <v>71</v>
      </c>
      <c r="E22" t="str">
        <f>"338"</f>
        <v>338</v>
      </c>
      <c r="F22" t="str">
        <f t="shared" si="2"/>
        <v>0000</v>
      </c>
    </row>
    <row r="23" spans="1:6">
      <c r="A23" t="str">
        <f>"T428-3"</f>
        <v>T428-3</v>
      </c>
      <c r="B23" t="str">
        <f>"VIA ANTONIO SANT' ELIA  108-"</f>
        <v>VIA ANTONIO SANT' ELIA  108-</v>
      </c>
      <c r="C23" t="str">
        <f t="shared" si="1"/>
        <v>3</v>
      </c>
      <c r="D23">
        <v>71</v>
      </c>
      <c r="E23" t="str">
        <f>"339"</f>
        <v>339</v>
      </c>
      <c r="F23" t="str">
        <f t="shared" si="2"/>
        <v>0000</v>
      </c>
    </row>
    <row r="24" spans="1:6">
      <c r="A24" t="str">
        <f>"T428-4"</f>
        <v>T428-4</v>
      </c>
      <c r="B24" t="str">
        <f>"VIA ANTONIO SANT' ELIA  108-"</f>
        <v>VIA ANTONIO SANT' ELIA  108-</v>
      </c>
      <c r="C24" t="str">
        <f>"2"</f>
        <v>2</v>
      </c>
      <c r="D24">
        <v>71</v>
      </c>
      <c r="E24" t="str">
        <f>"131"</f>
        <v>131</v>
      </c>
      <c r="F24" t="str">
        <f t="shared" si="2"/>
        <v>0000</v>
      </c>
    </row>
    <row r="25" spans="1:6">
      <c r="A25" t="str">
        <f>"T434-4"</f>
        <v>T434-4</v>
      </c>
      <c r="B25" t="str">
        <f t="shared" ref="B25:B30" si="3">"PIAZZA VITT CONSIGLIERE VICINO AL 1-"</f>
        <v>PIAZZA VITT CONSIGLIERE VICINO AL 1-</v>
      </c>
      <c r="C25" t="str">
        <f t="shared" ref="C25:C35" si="4">"3"</f>
        <v>3</v>
      </c>
      <c r="D25">
        <v>52</v>
      </c>
      <c r="E25" t="str">
        <f>"267"</f>
        <v>267</v>
      </c>
      <c r="F25" t="str">
        <f t="shared" si="2"/>
        <v>0000</v>
      </c>
    </row>
    <row r="26" spans="1:6">
      <c r="A26" t="str">
        <f>"T434-6"</f>
        <v>T434-6</v>
      </c>
      <c r="B26" t="str">
        <f t="shared" si="3"/>
        <v>PIAZZA VITT CONSIGLIERE VICINO AL 1-</v>
      </c>
      <c r="C26" t="str">
        <f t="shared" si="4"/>
        <v>3</v>
      </c>
      <c r="D26">
        <v>53</v>
      </c>
      <c r="E26" t="str">
        <f>"16"</f>
        <v>16</v>
      </c>
      <c r="F26" t="str">
        <f t="shared" si="2"/>
        <v>0000</v>
      </c>
    </row>
    <row r="27" spans="1:6">
      <c r="A27" t="str">
        <f>"T434-7"</f>
        <v>T434-7</v>
      </c>
      <c r="B27" t="str">
        <f t="shared" si="3"/>
        <v>PIAZZA VITT CONSIGLIERE VICINO AL 1-</v>
      </c>
      <c r="C27" t="str">
        <f t="shared" si="4"/>
        <v>3</v>
      </c>
      <c r="D27">
        <v>53</v>
      </c>
      <c r="E27" t="str">
        <f>"170"</f>
        <v>170</v>
      </c>
      <c r="F27" t="str">
        <f t="shared" si="2"/>
        <v>0000</v>
      </c>
    </row>
    <row r="28" spans="1:6">
      <c r="A28" t="str">
        <f>"T434-10"</f>
        <v>T434-10</v>
      </c>
      <c r="B28" t="str">
        <f t="shared" si="3"/>
        <v>PIAZZA VITT CONSIGLIERE VICINO AL 1-</v>
      </c>
      <c r="C28" t="str">
        <f t="shared" si="4"/>
        <v>3</v>
      </c>
      <c r="D28">
        <v>53</v>
      </c>
      <c r="E28" t="str">
        <f>"17"</f>
        <v>17</v>
      </c>
      <c r="F28" t="str">
        <f t="shared" si="2"/>
        <v>0000</v>
      </c>
    </row>
    <row r="29" spans="1:6">
      <c r="A29" t="str">
        <f>"T434-11"</f>
        <v>T434-11</v>
      </c>
      <c r="B29" t="str">
        <f t="shared" si="3"/>
        <v>PIAZZA VITT CONSIGLIERE VICINO AL 1-</v>
      </c>
      <c r="C29" t="str">
        <f t="shared" si="4"/>
        <v>3</v>
      </c>
      <c r="D29">
        <v>52</v>
      </c>
      <c r="E29" t="str">
        <f>"13"</f>
        <v>13</v>
      </c>
      <c r="F29" t="str">
        <f>"2"</f>
        <v>2</v>
      </c>
    </row>
    <row r="30" spans="1:6">
      <c r="A30" t="str">
        <f>"T434-12"</f>
        <v>T434-12</v>
      </c>
      <c r="B30" t="str">
        <f t="shared" si="3"/>
        <v>PIAZZA VITT CONSIGLIERE VICINO AL 1-</v>
      </c>
      <c r="C30" t="str">
        <f t="shared" si="4"/>
        <v>3</v>
      </c>
      <c r="D30">
        <v>52</v>
      </c>
      <c r="E30" t="str">
        <f>"776"</f>
        <v>776</v>
      </c>
      <c r="F30" t="str">
        <f t="shared" ref="F30:F35" si="5">"0000"</f>
        <v>0000</v>
      </c>
    </row>
    <row r="31" spans="1:6">
      <c r="A31" t="str">
        <f>"T445-1"</f>
        <v>T445-1</v>
      </c>
      <c r="B31" t="str">
        <f>"VIA SEDICI GIUGNO 1944 VICINO AL 36-"</f>
        <v>VIA SEDICI GIUGNO 1944 VICINO AL 36-</v>
      </c>
      <c r="C31" t="str">
        <f t="shared" si="4"/>
        <v>3</v>
      </c>
      <c r="D31">
        <v>53</v>
      </c>
      <c r="E31" t="str">
        <f>"27"</f>
        <v>27</v>
      </c>
      <c r="F31" t="str">
        <f t="shared" si="5"/>
        <v>0000</v>
      </c>
    </row>
    <row r="32" spans="1:6">
      <c r="A32" t="str">
        <f>"T445-2"</f>
        <v>T445-2</v>
      </c>
      <c r="B32" t="str">
        <f>"VIA SEDICI GIUGNO 1944 VICINO AL 36-"</f>
        <v>VIA SEDICI GIUGNO 1944 VICINO AL 36-</v>
      </c>
      <c r="C32" t="str">
        <f t="shared" si="4"/>
        <v>3</v>
      </c>
      <c r="D32">
        <v>53</v>
      </c>
      <c r="E32" t="str">
        <f>"28"</f>
        <v>28</v>
      </c>
      <c r="F32" t="str">
        <f t="shared" si="5"/>
        <v>0000</v>
      </c>
    </row>
    <row r="33" spans="1:6">
      <c r="A33" t="str">
        <f>"T445-3"</f>
        <v>T445-3</v>
      </c>
      <c r="B33" t="str">
        <f>"VIA SEDICI GIUGNO 1944 VICINO AL 36-"</f>
        <v>VIA SEDICI GIUGNO 1944 VICINO AL 36-</v>
      </c>
      <c r="C33" t="str">
        <f t="shared" si="4"/>
        <v>3</v>
      </c>
      <c r="D33">
        <v>53</v>
      </c>
      <c r="E33" t="str">
        <f>"29"</f>
        <v>29</v>
      </c>
      <c r="F33" t="str">
        <f t="shared" si="5"/>
        <v>0000</v>
      </c>
    </row>
    <row r="34" spans="1:6">
      <c r="A34" t="str">
        <f>"T445-4"</f>
        <v>T445-4</v>
      </c>
      <c r="B34" t="str">
        <f>"VIA SEDICI GIUGNO 1944 VICINO AL 36-"</f>
        <v>VIA SEDICI GIUGNO 1944 VICINO AL 36-</v>
      </c>
      <c r="C34" t="str">
        <f t="shared" si="4"/>
        <v>3</v>
      </c>
      <c r="D34">
        <v>53</v>
      </c>
      <c r="E34" t="str">
        <f>"72"</f>
        <v>72</v>
      </c>
      <c r="F34" t="str">
        <f t="shared" si="5"/>
        <v>0000</v>
      </c>
    </row>
    <row r="35" spans="1:6">
      <c r="A35" t="str">
        <f>"T445-5"</f>
        <v>T445-5</v>
      </c>
      <c r="B35" t="str">
        <f>"VIA SEDICI GIUGNO 1944 VICINO AL 36-"</f>
        <v>VIA SEDICI GIUGNO 1944 VICINO AL 36-</v>
      </c>
      <c r="C35" t="str">
        <f t="shared" si="4"/>
        <v>3</v>
      </c>
      <c r="D35">
        <v>54</v>
      </c>
      <c r="E35" t="str">
        <f>"105"</f>
        <v>105</v>
      </c>
      <c r="F35" t="str">
        <f t="shared" si="5"/>
        <v>0000</v>
      </c>
    </row>
    <row r="36" spans="1:6">
      <c r="A36" t="str">
        <f>"T573-1"</f>
        <v>T573-1</v>
      </c>
      <c r="B36" t="str">
        <f>"VIA S MARIA DELLA COSTA VICINO AL 6-"</f>
        <v>VIA S MARIA DELLA COSTA VICINO AL 6-</v>
      </c>
      <c r="C36" t="str">
        <f>"SEP"</f>
        <v>SEP</v>
      </c>
      <c r="D36">
        <v>55</v>
      </c>
      <c r="E36" t="str">
        <f>"1144"</f>
        <v>1144</v>
      </c>
      <c r="F36" t="str">
        <f>"1"</f>
        <v>1</v>
      </c>
    </row>
    <row r="37" spans="1:6">
      <c r="A37" t="str">
        <f>"T573-1"</f>
        <v>T573-1</v>
      </c>
      <c r="B37" t="str">
        <f>"VIA S MARIA DELLA COSTA VICINO AL 6-"</f>
        <v>VIA S MARIA DELLA COSTA VICINO AL 6-</v>
      </c>
      <c r="C37" t="str">
        <f t="shared" ref="C37:C68" si="6">"3"</f>
        <v>3</v>
      </c>
      <c r="D37">
        <v>55</v>
      </c>
      <c r="E37" t="str">
        <f>"30"</f>
        <v>30</v>
      </c>
      <c r="F37" t="str">
        <f t="shared" ref="F37:F68" si="7">"0000"</f>
        <v>0000</v>
      </c>
    </row>
    <row r="38" spans="1:6">
      <c r="A38" t="str">
        <f>"T573-2"</f>
        <v>T573-2</v>
      </c>
      <c r="B38" t="str">
        <f>"VIA S MARIA DELLA COSTA VICINO AL 6-"</f>
        <v>VIA S MARIA DELLA COSTA VICINO AL 6-</v>
      </c>
      <c r="C38" t="str">
        <f t="shared" si="6"/>
        <v>3</v>
      </c>
      <c r="D38">
        <v>55</v>
      </c>
      <c r="E38" t="str">
        <f>"693"</f>
        <v>693</v>
      </c>
      <c r="F38" t="str">
        <f t="shared" si="7"/>
        <v>0000</v>
      </c>
    </row>
    <row r="39" spans="1:6">
      <c r="A39" t="str">
        <f>"T581-1"</f>
        <v>T581-1</v>
      </c>
      <c r="B39" t="str">
        <f>"VIA BORZOLI VICINO AL 65-"</f>
        <v>VIA BORZOLI VICINO AL 65-</v>
      </c>
      <c r="C39" t="str">
        <f t="shared" si="6"/>
        <v>3</v>
      </c>
      <c r="D39">
        <v>66</v>
      </c>
      <c r="E39" t="str">
        <f>"321"</f>
        <v>321</v>
      </c>
      <c r="F39" t="str">
        <f t="shared" si="7"/>
        <v>0000</v>
      </c>
    </row>
    <row r="40" spans="1:6">
      <c r="A40" t="str">
        <f>"T598-1"</f>
        <v>T598-1</v>
      </c>
      <c r="B40" t="str">
        <f>"VIA LODOVICO CALDA VICINO AL 14-"</f>
        <v>VIA LODOVICO CALDA VICINO AL 14-</v>
      </c>
      <c r="C40" t="str">
        <f t="shared" si="6"/>
        <v>3</v>
      </c>
      <c r="D40">
        <v>76</v>
      </c>
      <c r="E40" t="str">
        <f>"932"</f>
        <v>932</v>
      </c>
      <c r="F40" t="str">
        <f t="shared" si="7"/>
        <v>0000</v>
      </c>
    </row>
    <row r="41" spans="1:6">
      <c r="A41" t="str">
        <f>"T598-2"</f>
        <v>T598-2</v>
      </c>
      <c r="B41" t="str">
        <f>"VIA LODOVICO CALDA VICINO AL 14-"</f>
        <v>VIA LODOVICO CALDA VICINO AL 14-</v>
      </c>
      <c r="C41" t="str">
        <f t="shared" si="6"/>
        <v>3</v>
      </c>
      <c r="D41">
        <v>76</v>
      </c>
      <c r="E41" t="str">
        <f>"56"</f>
        <v>56</v>
      </c>
      <c r="F41" t="str">
        <f t="shared" si="7"/>
        <v>0000</v>
      </c>
    </row>
    <row r="42" spans="1:6">
      <c r="A42" t="str">
        <f>"T599-1"</f>
        <v>T599-1</v>
      </c>
      <c r="B42" t="str">
        <f>"VIA NINO CERVETTO VICINO AL 40-"</f>
        <v>VIA NINO CERVETTO VICINO AL 40-</v>
      </c>
      <c r="C42" t="str">
        <f t="shared" si="6"/>
        <v>3</v>
      </c>
      <c r="D42">
        <v>78</v>
      </c>
      <c r="E42" t="str">
        <f>"147"</f>
        <v>147</v>
      </c>
      <c r="F42" t="str">
        <f t="shared" si="7"/>
        <v>0000</v>
      </c>
    </row>
    <row r="43" spans="1:6">
      <c r="A43" t="str">
        <f>"T612-1"</f>
        <v>T612-1</v>
      </c>
      <c r="B43" t="str">
        <f>"VIA FABIO DA PERSICO VICINO AL 9-"</f>
        <v>VIA FABIO DA PERSICO VICINO AL 9-</v>
      </c>
      <c r="C43" t="str">
        <f t="shared" si="6"/>
        <v>3</v>
      </c>
      <c r="D43">
        <v>55</v>
      </c>
      <c r="E43" t="str">
        <f>"162"</f>
        <v>162</v>
      </c>
      <c r="F43" t="str">
        <f t="shared" si="7"/>
        <v>0000</v>
      </c>
    </row>
    <row r="44" spans="1:6">
      <c r="A44" t="str">
        <f>"T614-1"</f>
        <v>T614-1</v>
      </c>
      <c r="B44" t="str">
        <f>"VIA CORONATA VICINO AL 38-"</f>
        <v>VIA CORONATA VICINO AL 38-</v>
      </c>
      <c r="C44" t="str">
        <f t="shared" si="6"/>
        <v>3</v>
      </c>
      <c r="D44">
        <v>78</v>
      </c>
      <c r="E44" t="str">
        <f>"42"</f>
        <v>42</v>
      </c>
      <c r="F44" t="str">
        <f t="shared" si="7"/>
        <v>0000</v>
      </c>
    </row>
    <row r="45" spans="1:6">
      <c r="A45" t="str">
        <f>"T614-2"</f>
        <v>T614-2</v>
      </c>
      <c r="B45" t="str">
        <f>"VIA CORONATA VICINO AL 38-"</f>
        <v>VIA CORONATA VICINO AL 38-</v>
      </c>
      <c r="C45" t="str">
        <f t="shared" si="6"/>
        <v>3</v>
      </c>
      <c r="D45">
        <v>78</v>
      </c>
      <c r="E45" t="str">
        <f>"50"</f>
        <v>50</v>
      </c>
      <c r="F45" t="str">
        <f t="shared" si="7"/>
        <v>0000</v>
      </c>
    </row>
    <row r="46" spans="1:6">
      <c r="A46" t="str">
        <f>"T614-3"</f>
        <v>T614-3</v>
      </c>
      <c r="B46" t="str">
        <f>"VIA CORONATA VICINO AL 38-"</f>
        <v>VIA CORONATA VICINO AL 38-</v>
      </c>
      <c r="C46" t="str">
        <f t="shared" si="6"/>
        <v>3</v>
      </c>
      <c r="D46">
        <v>78</v>
      </c>
      <c r="E46" t="str">
        <f>"53"</f>
        <v>53</v>
      </c>
      <c r="F46" t="str">
        <f t="shared" si="7"/>
        <v>0000</v>
      </c>
    </row>
    <row r="47" spans="1:6">
      <c r="A47" t="str">
        <f>"T614-4"</f>
        <v>T614-4</v>
      </c>
      <c r="B47" t="str">
        <f>"VIA CORONATA VICINO AL 38-"</f>
        <v>VIA CORONATA VICINO AL 38-</v>
      </c>
      <c r="C47" t="str">
        <f t="shared" si="6"/>
        <v>3</v>
      </c>
      <c r="D47">
        <v>78</v>
      </c>
      <c r="E47" t="str">
        <f>"386"</f>
        <v>386</v>
      </c>
      <c r="F47" t="str">
        <f t="shared" si="7"/>
        <v>0000</v>
      </c>
    </row>
    <row r="48" spans="1:6">
      <c r="A48" t="str">
        <f>"T614-5"</f>
        <v>T614-5</v>
      </c>
      <c r="B48" t="str">
        <f>"VIA CORONATA VICINO AL 38-"</f>
        <v>VIA CORONATA VICINO AL 38-</v>
      </c>
      <c r="C48" t="str">
        <f t="shared" si="6"/>
        <v>3</v>
      </c>
      <c r="D48">
        <v>78</v>
      </c>
      <c r="E48" t="str">
        <f>"387"</f>
        <v>387</v>
      </c>
      <c r="F48" t="str">
        <f t="shared" si="7"/>
        <v>0000</v>
      </c>
    </row>
    <row r="49" spans="1:6">
      <c r="A49" t="str">
        <f>"T615-1"</f>
        <v>T615-1</v>
      </c>
      <c r="B49" t="str">
        <f>"VIA DOMENICO OLIVA VICINO AL 9-"</f>
        <v>VIA DOMENICO OLIVA VICINO AL 9-</v>
      </c>
      <c r="C49" t="str">
        <f t="shared" si="6"/>
        <v>3</v>
      </c>
      <c r="D49">
        <v>56</v>
      </c>
      <c r="E49" t="str">
        <f>"A"</f>
        <v>A</v>
      </c>
      <c r="F49" t="str">
        <f t="shared" si="7"/>
        <v>0000</v>
      </c>
    </row>
    <row r="50" spans="1:6">
      <c r="A50" t="str">
        <f>"T616-1"</f>
        <v>T616-1</v>
      </c>
      <c r="B50" t="str">
        <f>"VIA GIAN GIACOMO CAVALLI VICINO AL 26R-"</f>
        <v>VIA GIAN GIACOMO CAVALLI VICINO AL 26R-</v>
      </c>
      <c r="C50" t="str">
        <f t="shared" si="6"/>
        <v>3</v>
      </c>
      <c r="D50">
        <v>56</v>
      </c>
      <c r="E50" t="str">
        <f>"368"</f>
        <v>368</v>
      </c>
      <c r="F50" t="str">
        <f t="shared" si="7"/>
        <v>0000</v>
      </c>
    </row>
    <row r="51" spans="1:6">
      <c r="A51" t="str">
        <f>"T617-1"</f>
        <v>T617-1</v>
      </c>
      <c r="B51" t="str">
        <f>"VIA DON LUIGI PERRONE VICINO AL 15-"</f>
        <v>VIA DON LUIGI PERRONE VICINO AL 15-</v>
      </c>
      <c r="C51" t="str">
        <f t="shared" si="6"/>
        <v>3</v>
      </c>
      <c r="D51">
        <v>56</v>
      </c>
      <c r="E51" t="str">
        <f>"160"</f>
        <v>160</v>
      </c>
      <c r="F51" t="str">
        <f t="shared" si="7"/>
        <v>0000</v>
      </c>
    </row>
    <row r="52" spans="1:6">
      <c r="A52" t="str">
        <f>"T618-1"</f>
        <v>T618-1</v>
      </c>
      <c r="B52" t="str">
        <f>"PIAZZA ALBERTINA VICINO AL 5-"</f>
        <v>PIAZZA ALBERTINA VICINO AL 5-</v>
      </c>
      <c r="C52" t="str">
        <f t="shared" si="6"/>
        <v>3</v>
      </c>
      <c r="D52">
        <v>55</v>
      </c>
      <c r="E52" t="str">
        <f>"203"</f>
        <v>203</v>
      </c>
      <c r="F52" t="str">
        <f t="shared" si="7"/>
        <v>0000</v>
      </c>
    </row>
    <row r="53" spans="1:6">
      <c r="A53" t="str">
        <f>"T619-1"</f>
        <v>T619-1</v>
      </c>
      <c r="B53" t="str">
        <f>"VIA SANT ALBERTO VICINO AL 26-"</f>
        <v>VIA SANT ALBERTO VICINO AL 26-</v>
      </c>
      <c r="C53" t="str">
        <f t="shared" si="6"/>
        <v>3</v>
      </c>
      <c r="D53">
        <v>51</v>
      </c>
      <c r="E53" t="str">
        <f>"266"</f>
        <v>266</v>
      </c>
      <c r="F53" t="str">
        <f t="shared" si="7"/>
        <v>0000</v>
      </c>
    </row>
    <row r="54" spans="1:6">
      <c r="A54" t="str">
        <f>"T620-1"</f>
        <v>T620-1</v>
      </c>
      <c r="B54" t="str">
        <f>"VIA BORZOLI VICINO AL 43-"</f>
        <v>VIA BORZOLI VICINO AL 43-</v>
      </c>
      <c r="C54" t="str">
        <f t="shared" si="6"/>
        <v>3</v>
      </c>
      <c r="D54">
        <v>65</v>
      </c>
      <c r="E54" t="str">
        <f>"338"</f>
        <v>338</v>
      </c>
      <c r="F54" t="str">
        <f t="shared" si="7"/>
        <v>0000</v>
      </c>
    </row>
    <row r="55" spans="1:6">
      <c r="A55" t="str">
        <f>"T620-2"</f>
        <v>T620-2</v>
      </c>
      <c r="B55" t="str">
        <f>"VIA BORZOLI VICINO AL 43-"</f>
        <v>VIA BORZOLI VICINO AL 43-</v>
      </c>
      <c r="C55" t="str">
        <f t="shared" si="6"/>
        <v>3</v>
      </c>
      <c r="D55">
        <v>65</v>
      </c>
      <c r="E55" t="str">
        <f>"339"</f>
        <v>339</v>
      </c>
      <c r="F55" t="str">
        <f t="shared" si="7"/>
        <v>0000</v>
      </c>
    </row>
    <row r="56" spans="1:6">
      <c r="A56" t="str">
        <f>"T621-1"</f>
        <v>T621-1</v>
      </c>
      <c r="B56" t="str">
        <f>"VIA BORZOLI VICINO AL 55-"</f>
        <v>VIA BORZOLI VICINO AL 55-</v>
      </c>
      <c r="C56" t="str">
        <f t="shared" si="6"/>
        <v>3</v>
      </c>
      <c r="D56">
        <v>65</v>
      </c>
      <c r="E56" t="str">
        <f>"303"</f>
        <v>303</v>
      </c>
      <c r="F56" t="str">
        <f t="shared" si="7"/>
        <v>0000</v>
      </c>
    </row>
    <row r="57" spans="1:6">
      <c r="A57" t="str">
        <f>"T621-3"</f>
        <v>T621-3</v>
      </c>
      <c r="B57" t="str">
        <f>"VIA BORZOLI VICINO AL 55-"</f>
        <v>VIA BORZOLI VICINO AL 55-</v>
      </c>
      <c r="C57" t="str">
        <f t="shared" si="6"/>
        <v>3</v>
      </c>
      <c r="D57">
        <v>65</v>
      </c>
      <c r="E57" t="str">
        <f>"339"</f>
        <v>339</v>
      </c>
      <c r="F57" t="str">
        <f t="shared" si="7"/>
        <v>0000</v>
      </c>
    </row>
    <row r="58" spans="1:6">
      <c r="A58" t="str">
        <f>"T621-4"</f>
        <v>T621-4</v>
      </c>
      <c r="B58" t="str">
        <f>"VIA BORZOLI VICINO AL 55-"</f>
        <v>VIA BORZOLI VICINO AL 55-</v>
      </c>
      <c r="C58" t="str">
        <f t="shared" si="6"/>
        <v>3</v>
      </c>
      <c r="D58">
        <v>65</v>
      </c>
      <c r="E58" t="str">
        <f>"340"</f>
        <v>340</v>
      </c>
      <c r="F58" t="str">
        <f t="shared" si="7"/>
        <v>0000</v>
      </c>
    </row>
    <row r="59" spans="1:6">
      <c r="A59" t="str">
        <f>"T621-5"</f>
        <v>T621-5</v>
      </c>
      <c r="B59" t="str">
        <f>"VIA BORZOLI VICINO AL 55-"</f>
        <v>VIA BORZOLI VICINO AL 55-</v>
      </c>
      <c r="C59" t="str">
        <f t="shared" si="6"/>
        <v>3</v>
      </c>
      <c r="D59">
        <v>65</v>
      </c>
      <c r="E59" t="str">
        <f>"302"</f>
        <v>302</v>
      </c>
      <c r="F59" t="str">
        <f t="shared" si="7"/>
        <v>0000</v>
      </c>
    </row>
    <row r="60" spans="1:6">
      <c r="A60" t="str">
        <f>"T621-7"</f>
        <v>T621-7</v>
      </c>
      <c r="B60" t="str">
        <f>"VIA BORZOLI VICINO AL 55-"</f>
        <v>VIA BORZOLI VICINO AL 55-</v>
      </c>
      <c r="C60" t="str">
        <f t="shared" si="6"/>
        <v>3</v>
      </c>
      <c r="D60">
        <v>65</v>
      </c>
      <c r="E60" t="str">
        <f>"393"</f>
        <v>393</v>
      </c>
      <c r="F60" t="str">
        <f t="shared" si="7"/>
        <v>0000</v>
      </c>
    </row>
    <row r="61" spans="1:6">
      <c r="A61" t="str">
        <f>"T622-1"</f>
        <v>T622-1</v>
      </c>
      <c r="B61" t="str">
        <f t="shared" ref="B61:B66" si="8">"VIA BORZOLI VICINO AL 61A-"</f>
        <v>VIA BORZOLI VICINO AL 61A-</v>
      </c>
      <c r="C61" t="str">
        <f t="shared" si="6"/>
        <v>3</v>
      </c>
      <c r="D61">
        <v>65</v>
      </c>
      <c r="E61" t="str">
        <f>"314"</f>
        <v>314</v>
      </c>
      <c r="F61" t="str">
        <f t="shared" si="7"/>
        <v>0000</v>
      </c>
    </row>
    <row r="62" spans="1:6">
      <c r="A62" t="str">
        <f>"T622-2"</f>
        <v>T622-2</v>
      </c>
      <c r="B62" t="str">
        <f t="shared" si="8"/>
        <v>VIA BORZOLI VICINO AL 61A-</v>
      </c>
      <c r="C62" t="str">
        <f t="shared" si="6"/>
        <v>3</v>
      </c>
      <c r="D62">
        <v>65</v>
      </c>
      <c r="E62" t="str">
        <f>"315"</f>
        <v>315</v>
      </c>
      <c r="F62" t="str">
        <f t="shared" si="7"/>
        <v>0000</v>
      </c>
    </row>
    <row r="63" spans="1:6">
      <c r="A63" t="str">
        <f>"T622-3"</f>
        <v>T622-3</v>
      </c>
      <c r="B63" t="str">
        <f t="shared" si="8"/>
        <v>VIA BORZOLI VICINO AL 61A-</v>
      </c>
      <c r="C63" t="str">
        <f t="shared" si="6"/>
        <v>3</v>
      </c>
      <c r="D63">
        <v>65</v>
      </c>
      <c r="E63" t="str">
        <f>"316"</f>
        <v>316</v>
      </c>
      <c r="F63" t="str">
        <f t="shared" si="7"/>
        <v>0000</v>
      </c>
    </row>
    <row r="64" spans="1:6">
      <c r="A64" t="str">
        <f>"T622-4"</f>
        <v>T622-4</v>
      </c>
      <c r="B64" t="str">
        <f t="shared" si="8"/>
        <v>VIA BORZOLI VICINO AL 61A-</v>
      </c>
      <c r="C64" t="str">
        <f t="shared" si="6"/>
        <v>3</v>
      </c>
      <c r="D64">
        <v>65</v>
      </c>
      <c r="E64" t="str">
        <f>"449"</f>
        <v>449</v>
      </c>
      <c r="F64" t="str">
        <f t="shared" si="7"/>
        <v>0000</v>
      </c>
    </row>
    <row r="65" spans="1:6">
      <c r="A65" t="str">
        <f>"T622-5"</f>
        <v>T622-5</v>
      </c>
      <c r="B65" t="str">
        <f t="shared" si="8"/>
        <v>VIA BORZOLI VICINO AL 61A-</v>
      </c>
      <c r="C65" t="str">
        <f t="shared" si="6"/>
        <v>3</v>
      </c>
      <c r="D65">
        <v>65</v>
      </c>
      <c r="E65" t="str">
        <f>"317"</f>
        <v>317</v>
      </c>
      <c r="F65" t="str">
        <f t="shared" si="7"/>
        <v>0000</v>
      </c>
    </row>
    <row r="66" spans="1:6">
      <c r="A66" t="str">
        <f>"T622-6"</f>
        <v>T622-6</v>
      </c>
      <c r="B66" t="str">
        <f t="shared" si="8"/>
        <v>VIA BORZOLI VICINO AL 61A-</v>
      </c>
      <c r="C66" t="str">
        <f t="shared" si="6"/>
        <v>3</v>
      </c>
      <c r="D66">
        <v>65</v>
      </c>
      <c r="E66" t="str">
        <f>"99999"</f>
        <v>99999</v>
      </c>
      <c r="F66" t="str">
        <f t="shared" si="7"/>
        <v>0000</v>
      </c>
    </row>
    <row r="67" spans="1:6">
      <c r="A67" t="str">
        <f>"T623-1"</f>
        <v>T623-1</v>
      </c>
      <c r="B67" t="str">
        <f>"VIA BORZOLI VICINO AL 81-"</f>
        <v>VIA BORZOLI VICINO AL 81-</v>
      </c>
      <c r="C67" t="str">
        <f t="shared" si="6"/>
        <v>3</v>
      </c>
      <c r="D67">
        <v>66</v>
      </c>
      <c r="E67" t="str">
        <f>"187"</f>
        <v>187</v>
      </c>
      <c r="F67" t="str">
        <f t="shared" si="7"/>
        <v>0000</v>
      </c>
    </row>
    <row r="68" spans="1:6">
      <c r="A68" t="str">
        <f>"T623-2"</f>
        <v>T623-2</v>
      </c>
      <c r="B68" t="str">
        <f>"VIA BORZOLI VICINO AL 81-"</f>
        <v>VIA BORZOLI VICINO AL 81-</v>
      </c>
      <c r="C68" t="str">
        <f t="shared" si="6"/>
        <v>3</v>
      </c>
      <c r="D68">
        <v>66</v>
      </c>
      <c r="E68" t="str">
        <f>"196"</f>
        <v>196</v>
      </c>
      <c r="F68" t="str">
        <f t="shared" si="7"/>
        <v>0000</v>
      </c>
    </row>
    <row r="69" spans="1:6">
      <c r="A69" t="str">
        <f>"T630-1"</f>
        <v>T630-1</v>
      </c>
      <c r="B69" t="str">
        <f>"VIA CORNIGLIANO VICINO AL 37AR-"</f>
        <v>VIA CORNIGLIANO VICINO AL 37AR-</v>
      </c>
      <c r="C69" t="str">
        <f t="shared" ref="C69:C100" si="9">"3"</f>
        <v>3</v>
      </c>
      <c r="D69">
        <v>80</v>
      </c>
      <c r="E69" t="str">
        <f>"47"</f>
        <v>47</v>
      </c>
      <c r="F69" t="str">
        <f t="shared" ref="F69:F100" si="10">"0000"</f>
        <v>0000</v>
      </c>
    </row>
    <row r="70" spans="1:6">
      <c r="A70" t="str">
        <f>"T631-1"</f>
        <v>T631-1</v>
      </c>
      <c r="B70" t="str">
        <f>"VIA CORNIGLIANO VICINO AL 15-"</f>
        <v>VIA CORNIGLIANO VICINO AL 15-</v>
      </c>
      <c r="C70" t="str">
        <f t="shared" si="9"/>
        <v>3</v>
      </c>
      <c r="D70">
        <v>78</v>
      </c>
      <c r="E70" t="str">
        <f>"154"</f>
        <v>154</v>
      </c>
      <c r="F70" t="str">
        <f t="shared" si="10"/>
        <v>0000</v>
      </c>
    </row>
    <row r="71" spans="1:6">
      <c r="A71" t="str">
        <f>"T631-2"</f>
        <v>T631-2</v>
      </c>
      <c r="B71" t="str">
        <f>"VIA CORNIGLIANO VICINO AL 15-"</f>
        <v>VIA CORNIGLIANO VICINO AL 15-</v>
      </c>
      <c r="C71" t="str">
        <f t="shared" si="9"/>
        <v>3</v>
      </c>
      <c r="D71">
        <v>78</v>
      </c>
      <c r="E71" t="str">
        <f>"A"</f>
        <v>A</v>
      </c>
      <c r="F71" t="str">
        <f t="shared" si="10"/>
        <v>0000</v>
      </c>
    </row>
    <row r="72" spans="1:6">
      <c r="A72" t="str">
        <f>"T631-3"</f>
        <v>T631-3</v>
      </c>
      <c r="B72" t="str">
        <f>"VIA CORNIGLIANO VICINO AL 15-"</f>
        <v>VIA CORNIGLIANO VICINO AL 15-</v>
      </c>
      <c r="C72" t="str">
        <f t="shared" si="9"/>
        <v>3</v>
      </c>
      <c r="D72">
        <v>78</v>
      </c>
      <c r="E72" t="str">
        <f>"147"</f>
        <v>147</v>
      </c>
      <c r="F72" t="str">
        <f t="shared" si="10"/>
        <v>0000</v>
      </c>
    </row>
    <row r="73" spans="1:6">
      <c r="A73" t="str">
        <f>"T631-4"</f>
        <v>T631-4</v>
      </c>
      <c r="B73" t="str">
        <f>"VIA CORNIGLIANO VICINO AL 15-"</f>
        <v>VIA CORNIGLIANO VICINO AL 15-</v>
      </c>
      <c r="C73" t="str">
        <f t="shared" si="9"/>
        <v>3</v>
      </c>
      <c r="D73">
        <v>78</v>
      </c>
      <c r="E73" t="str">
        <f>"155"</f>
        <v>155</v>
      </c>
      <c r="F73" t="str">
        <f t="shared" si="10"/>
        <v>0000</v>
      </c>
    </row>
    <row r="74" spans="1:6">
      <c r="A74" t="str">
        <f>"T631-5"</f>
        <v>T631-5</v>
      </c>
      <c r="B74" t="str">
        <f>"VIA CORNIGLIANO VICINO AL 15-"</f>
        <v>VIA CORNIGLIANO VICINO AL 15-</v>
      </c>
      <c r="C74" t="str">
        <f t="shared" si="9"/>
        <v>3</v>
      </c>
      <c r="D74">
        <v>78</v>
      </c>
      <c r="E74" t="str">
        <f>"389"</f>
        <v>389</v>
      </c>
      <c r="F74" t="str">
        <f t="shared" si="10"/>
        <v>0000</v>
      </c>
    </row>
    <row r="75" spans="1:6">
      <c r="A75" t="str">
        <f>"T632-1"</f>
        <v>T632-1</v>
      </c>
      <c r="B75" t="str">
        <f>"PIAZZA GIACINTO RIZZOLIO VICINO AL 25-"</f>
        <v>PIAZZA GIACINTO RIZZOLIO VICINO AL 25-</v>
      </c>
      <c r="C75" t="str">
        <f t="shared" si="9"/>
        <v>3</v>
      </c>
      <c r="D75">
        <v>79</v>
      </c>
      <c r="E75" t="str">
        <f>"441"</f>
        <v>441</v>
      </c>
      <c r="F75" t="str">
        <f t="shared" si="10"/>
        <v>0000</v>
      </c>
    </row>
    <row r="76" spans="1:6">
      <c r="A76" t="str">
        <f>"T633-3"</f>
        <v>T633-3</v>
      </c>
      <c r="B76" t="str">
        <f>"VIA GEROLAMO BORDONE  12-"</f>
        <v>VIA GEROLAMO BORDONE  12-</v>
      </c>
      <c r="C76" t="str">
        <f t="shared" si="9"/>
        <v>3</v>
      </c>
      <c r="D76">
        <v>79</v>
      </c>
      <c r="E76" t="str">
        <f>"2"</f>
        <v>2</v>
      </c>
      <c r="F76" t="str">
        <f t="shared" si="10"/>
        <v>0000</v>
      </c>
    </row>
    <row r="77" spans="1:6">
      <c r="A77" t="str">
        <f>"T634-1"</f>
        <v>T634-1</v>
      </c>
      <c r="B77" t="str">
        <f>"VIA FEDERICO GATTORNO VICINO AL 6-"</f>
        <v>VIA FEDERICO GATTORNO VICINO AL 6-</v>
      </c>
      <c r="C77" t="str">
        <f t="shared" si="9"/>
        <v>3</v>
      </c>
      <c r="D77">
        <v>79</v>
      </c>
      <c r="E77" t="str">
        <f>"360"</f>
        <v>360</v>
      </c>
      <c r="F77" t="str">
        <f t="shared" si="10"/>
        <v>0000</v>
      </c>
    </row>
    <row r="78" spans="1:6">
      <c r="A78" t="str">
        <f>"T634-2"</f>
        <v>T634-2</v>
      </c>
      <c r="B78" t="str">
        <f>"VIA FEDERICO GATTORNO VICINO AL 6-"</f>
        <v>VIA FEDERICO GATTORNO VICINO AL 6-</v>
      </c>
      <c r="C78" t="str">
        <f t="shared" si="9"/>
        <v>3</v>
      </c>
      <c r="D78">
        <v>79</v>
      </c>
      <c r="E78" t="str">
        <f>"554"</f>
        <v>554</v>
      </c>
      <c r="F78" t="str">
        <f t="shared" si="10"/>
        <v>0000</v>
      </c>
    </row>
    <row r="79" spans="1:6">
      <c r="A79" t="str">
        <f>"T635-1"</f>
        <v>T635-1</v>
      </c>
      <c r="B79" t="str">
        <f>"CORSO FERDINANDO PERRONE VICINO AL 20-"</f>
        <v>CORSO FERDINANDO PERRONE VICINO AL 20-</v>
      </c>
      <c r="C79" t="str">
        <f t="shared" si="9"/>
        <v>3</v>
      </c>
      <c r="D79">
        <v>75</v>
      </c>
      <c r="E79" t="str">
        <f>"300"</f>
        <v>300</v>
      </c>
      <c r="F79" t="str">
        <f t="shared" si="10"/>
        <v>0000</v>
      </c>
    </row>
    <row r="80" spans="1:6">
      <c r="A80" t="str">
        <f>"T635-2"</f>
        <v>T635-2</v>
      </c>
      <c r="B80" t="str">
        <f>"CORSO FERDINANDO PERRONE VICINO AL 20-"</f>
        <v>CORSO FERDINANDO PERRONE VICINO AL 20-</v>
      </c>
      <c r="C80" t="str">
        <f t="shared" si="9"/>
        <v>3</v>
      </c>
      <c r="D80">
        <v>75</v>
      </c>
      <c r="E80" t="str">
        <f>"301"</f>
        <v>301</v>
      </c>
      <c r="F80" t="str">
        <f t="shared" si="10"/>
        <v>0000</v>
      </c>
    </row>
    <row r="81" spans="1:6">
      <c r="A81" t="str">
        <f>"T635-3"</f>
        <v>T635-3</v>
      </c>
      <c r="B81" t="str">
        <f>"CORSO FERDINANDO PERRONE VICINO AL 20-"</f>
        <v>CORSO FERDINANDO PERRONE VICINO AL 20-</v>
      </c>
      <c r="C81" t="str">
        <f t="shared" si="9"/>
        <v>3</v>
      </c>
      <c r="D81">
        <v>75</v>
      </c>
      <c r="E81" t="str">
        <f>"302"</f>
        <v>302</v>
      </c>
      <c r="F81" t="str">
        <f t="shared" si="10"/>
        <v>0000</v>
      </c>
    </row>
    <row r="82" spans="1:6">
      <c r="A82" t="str">
        <f>"T635-4"</f>
        <v>T635-4</v>
      </c>
      <c r="B82" t="str">
        <f>"CORSO FERDINANDO PERRONE VICINO AL 20-"</f>
        <v>CORSO FERDINANDO PERRONE VICINO AL 20-</v>
      </c>
      <c r="C82" t="str">
        <f t="shared" si="9"/>
        <v>3</v>
      </c>
      <c r="D82">
        <v>75</v>
      </c>
      <c r="E82" t="str">
        <f>"303"</f>
        <v>303</v>
      </c>
      <c r="F82" t="str">
        <f t="shared" si="10"/>
        <v>0000</v>
      </c>
    </row>
    <row r="83" spans="1:6">
      <c r="A83" t="str">
        <f>"T635-5"</f>
        <v>T635-5</v>
      </c>
      <c r="B83" t="str">
        <f>"CORSO FERDINANDO PERRONE VICINO AL 20-"</f>
        <v>CORSO FERDINANDO PERRONE VICINO AL 20-</v>
      </c>
      <c r="C83" t="str">
        <f t="shared" si="9"/>
        <v>3</v>
      </c>
      <c r="D83">
        <v>75</v>
      </c>
      <c r="E83" t="str">
        <f>"304"</f>
        <v>304</v>
      </c>
      <c r="F83" t="str">
        <f t="shared" si="10"/>
        <v>0000</v>
      </c>
    </row>
    <row r="84" spans="1:6">
      <c r="A84" t="str">
        <f>"T636-1"</f>
        <v>T636-1</v>
      </c>
      <c r="B84" t="str">
        <f>"VIA GUIDO PELLIZZARI VICINO AL 28R-"</f>
        <v>VIA GUIDO PELLIZZARI VICINO AL 28R-</v>
      </c>
      <c r="C84" t="str">
        <f t="shared" si="9"/>
        <v>3</v>
      </c>
      <c r="D84">
        <v>79</v>
      </c>
      <c r="E84" t="str">
        <f>"156"</f>
        <v>156</v>
      </c>
      <c r="F84" t="str">
        <f t="shared" si="10"/>
        <v>0000</v>
      </c>
    </row>
    <row r="85" spans="1:6">
      <c r="A85" t="str">
        <f>"T637-11"</f>
        <v>T637-11</v>
      </c>
      <c r="B85" t="str">
        <f>"VIA CORONATA VICINO AL 100-"</f>
        <v>VIA CORONATA VICINO AL 100-</v>
      </c>
      <c r="C85" t="str">
        <f t="shared" si="9"/>
        <v>3</v>
      </c>
      <c r="D85">
        <v>78</v>
      </c>
      <c r="E85" t="str">
        <f>"1064"</f>
        <v>1064</v>
      </c>
      <c r="F85" t="str">
        <f t="shared" si="10"/>
        <v>0000</v>
      </c>
    </row>
    <row r="86" spans="1:6">
      <c r="A86" t="str">
        <f>"T638-1"</f>
        <v>T638-1</v>
      </c>
      <c r="B86" t="str">
        <f>"VIA ERZELLI VICINO AL 17-"</f>
        <v>VIA ERZELLI VICINO AL 17-</v>
      </c>
      <c r="C86" t="str">
        <f t="shared" si="9"/>
        <v>3</v>
      </c>
      <c r="D86">
        <v>77</v>
      </c>
      <c r="E86" t="str">
        <f>"99999"</f>
        <v>99999</v>
      </c>
      <c r="F86" t="str">
        <f t="shared" si="10"/>
        <v>0000</v>
      </c>
    </row>
    <row r="87" spans="1:6">
      <c r="A87" t="str">
        <f>"T639-1"</f>
        <v>T639-1</v>
      </c>
      <c r="B87" t="str">
        <f>"VIA DEI DOMENICANI VICINO AL 17-"</f>
        <v>VIA DEI DOMENICANI VICINO AL 17-</v>
      </c>
      <c r="C87" t="str">
        <f t="shared" si="9"/>
        <v>3</v>
      </c>
      <c r="D87">
        <v>79</v>
      </c>
      <c r="E87" t="str">
        <f>"99999"</f>
        <v>99999</v>
      </c>
      <c r="F87" t="str">
        <f t="shared" si="10"/>
        <v>0000</v>
      </c>
    </row>
    <row r="88" spans="1:6">
      <c r="A88" t="str">
        <f>"T642-1"</f>
        <v>T642-1</v>
      </c>
      <c r="B88" t="str">
        <f>"VIA NICOLO LORENZI VICINO AL 8-"</f>
        <v>VIA NICOLO LORENZI VICINO AL 8-</v>
      </c>
      <c r="C88" t="str">
        <f t="shared" si="9"/>
        <v>3</v>
      </c>
      <c r="D88">
        <v>75</v>
      </c>
      <c r="E88" t="str">
        <f>"69"</f>
        <v>69</v>
      </c>
      <c r="F88" t="str">
        <f t="shared" si="10"/>
        <v>0000</v>
      </c>
    </row>
    <row r="89" spans="1:6">
      <c r="A89" t="str">
        <f>"T643-1"</f>
        <v>T643-1</v>
      </c>
      <c r="B89" t="str">
        <f>"VIA FRANCESCO ROLLA VICINO AL 18R-"</f>
        <v>VIA FRANCESCO ROLLA VICINO AL 18R-</v>
      </c>
      <c r="C89" t="str">
        <f t="shared" si="9"/>
        <v>3</v>
      </c>
      <c r="D89">
        <v>78</v>
      </c>
      <c r="E89" t="str">
        <f>"351"</f>
        <v>351</v>
      </c>
      <c r="F89" t="str">
        <f t="shared" si="10"/>
        <v>0000</v>
      </c>
    </row>
    <row r="90" spans="1:6">
      <c r="A90" t="str">
        <f>"T644-1"</f>
        <v>T644-1</v>
      </c>
      <c r="B90" t="str">
        <f t="shared" ref="B90:B96" si="11">"VIA MONTE GUANO VICINO AL 8-"</f>
        <v>VIA MONTE GUANO VICINO AL 8-</v>
      </c>
      <c r="C90" t="str">
        <f t="shared" si="9"/>
        <v>3</v>
      </c>
      <c r="D90">
        <v>74</v>
      </c>
      <c r="E90" t="str">
        <f>"96"</f>
        <v>96</v>
      </c>
      <c r="F90" t="str">
        <f t="shared" si="10"/>
        <v>0000</v>
      </c>
    </row>
    <row r="91" spans="1:6">
      <c r="A91" t="str">
        <f>"T644-4"</f>
        <v>T644-4</v>
      </c>
      <c r="B91" t="str">
        <f t="shared" si="11"/>
        <v>VIA MONTE GUANO VICINO AL 8-</v>
      </c>
      <c r="C91" t="str">
        <f t="shared" si="9"/>
        <v>3</v>
      </c>
      <c r="D91">
        <v>76</v>
      </c>
      <c r="E91" t="str">
        <f>"1215"</f>
        <v>1215</v>
      </c>
      <c r="F91" t="str">
        <f t="shared" si="10"/>
        <v>0000</v>
      </c>
    </row>
    <row r="92" spans="1:6">
      <c r="A92" t="str">
        <f>"T645-1"</f>
        <v>T645-1</v>
      </c>
      <c r="B92" t="str">
        <f t="shared" si="11"/>
        <v>VIA MONTE GUANO VICINO AL 8-</v>
      </c>
      <c r="C92" t="str">
        <f t="shared" si="9"/>
        <v>3</v>
      </c>
      <c r="D92">
        <v>74</v>
      </c>
      <c r="E92" t="str">
        <f>"B"</f>
        <v>B</v>
      </c>
      <c r="F92" t="str">
        <f t="shared" si="10"/>
        <v>0000</v>
      </c>
    </row>
    <row r="93" spans="1:6">
      <c r="A93" t="str">
        <f>"T645-2"</f>
        <v>T645-2</v>
      </c>
      <c r="B93" t="str">
        <f t="shared" si="11"/>
        <v>VIA MONTE GUANO VICINO AL 8-</v>
      </c>
      <c r="C93" t="str">
        <f t="shared" si="9"/>
        <v>3</v>
      </c>
      <c r="D93">
        <v>76</v>
      </c>
      <c r="E93" t="str">
        <f>"15"</f>
        <v>15</v>
      </c>
      <c r="F93" t="str">
        <f t="shared" si="10"/>
        <v>0000</v>
      </c>
    </row>
    <row r="94" spans="1:6">
      <c r="A94" t="str">
        <f>"T645-3"</f>
        <v>T645-3</v>
      </c>
      <c r="B94" t="str">
        <f t="shared" si="11"/>
        <v>VIA MONTE GUANO VICINO AL 8-</v>
      </c>
      <c r="C94" t="str">
        <f t="shared" si="9"/>
        <v>3</v>
      </c>
      <c r="D94">
        <v>74</v>
      </c>
      <c r="E94" t="str">
        <f>"314"</f>
        <v>314</v>
      </c>
      <c r="F94" t="str">
        <f t="shared" si="10"/>
        <v>0000</v>
      </c>
    </row>
    <row r="95" spans="1:6">
      <c r="A95" t="str">
        <f>"T645-4"</f>
        <v>T645-4</v>
      </c>
      <c r="B95" t="str">
        <f t="shared" si="11"/>
        <v>VIA MONTE GUANO VICINO AL 8-</v>
      </c>
      <c r="C95" t="str">
        <f t="shared" si="9"/>
        <v>3</v>
      </c>
      <c r="D95">
        <v>76</v>
      </c>
      <c r="E95" t="str">
        <f>"14"</f>
        <v>14</v>
      </c>
      <c r="F95" t="str">
        <f t="shared" si="10"/>
        <v>0000</v>
      </c>
    </row>
    <row r="96" spans="1:6">
      <c r="A96" t="str">
        <f>"T645-5"</f>
        <v>T645-5</v>
      </c>
      <c r="B96" t="str">
        <f t="shared" si="11"/>
        <v>VIA MONTE GUANO VICINO AL 8-</v>
      </c>
      <c r="C96" t="str">
        <f t="shared" si="9"/>
        <v>3</v>
      </c>
      <c r="D96">
        <v>76</v>
      </c>
      <c r="E96" t="str">
        <f>"480"</f>
        <v>480</v>
      </c>
      <c r="F96" t="str">
        <f t="shared" si="10"/>
        <v>0000</v>
      </c>
    </row>
    <row r="97" spans="1:6">
      <c r="A97" t="str">
        <f>"T647-1"</f>
        <v>T647-1</v>
      </c>
      <c r="B97" t="str">
        <f t="shared" ref="B97:B115" si="12">"VIA PAOLO TOSCANELLI VICINO AL 60-"</f>
        <v>VIA PAOLO TOSCANELLI VICINO AL 60-</v>
      </c>
      <c r="C97" t="str">
        <f t="shared" si="9"/>
        <v>3</v>
      </c>
      <c r="D97">
        <v>54</v>
      </c>
      <c r="E97" t="str">
        <f>"111"</f>
        <v>111</v>
      </c>
      <c r="F97" t="str">
        <f t="shared" si="10"/>
        <v>0000</v>
      </c>
    </row>
    <row r="98" spans="1:6">
      <c r="A98" t="str">
        <f>"T647-2"</f>
        <v>T647-2</v>
      </c>
      <c r="B98" t="str">
        <f t="shared" si="12"/>
        <v>VIA PAOLO TOSCANELLI VICINO AL 60-</v>
      </c>
      <c r="C98" t="str">
        <f t="shared" si="9"/>
        <v>3</v>
      </c>
      <c r="D98">
        <v>54</v>
      </c>
      <c r="E98" t="str">
        <f>"294"</f>
        <v>294</v>
      </c>
      <c r="F98" t="str">
        <f t="shared" si="10"/>
        <v>0000</v>
      </c>
    </row>
    <row r="99" spans="1:6">
      <c r="A99" t="str">
        <f>"T647-3"</f>
        <v>T647-3</v>
      </c>
      <c r="B99" t="str">
        <f t="shared" si="12"/>
        <v>VIA PAOLO TOSCANELLI VICINO AL 60-</v>
      </c>
      <c r="C99" t="str">
        <f t="shared" si="9"/>
        <v>3</v>
      </c>
      <c r="D99">
        <v>54</v>
      </c>
      <c r="E99" t="str">
        <f>"432"</f>
        <v>432</v>
      </c>
      <c r="F99" t="str">
        <f t="shared" si="10"/>
        <v>0000</v>
      </c>
    </row>
    <row r="100" spans="1:6">
      <c r="A100" t="str">
        <f>"T647-4"</f>
        <v>T647-4</v>
      </c>
      <c r="B100" t="str">
        <f t="shared" si="12"/>
        <v>VIA PAOLO TOSCANELLI VICINO AL 60-</v>
      </c>
      <c r="C100" t="str">
        <f t="shared" si="9"/>
        <v>3</v>
      </c>
      <c r="D100">
        <v>54</v>
      </c>
      <c r="E100" t="str">
        <f>"433"</f>
        <v>433</v>
      </c>
      <c r="F100" t="str">
        <f t="shared" si="10"/>
        <v>0000</v>
      </c>
    </row>
    <row r="101" spans="1:6">
      <c r="A101" t="str">
        <f>"T647-5"</f>
        <v>T647-5</v>
      </c>
      <c r="B101" t="str">
        <f t="shared" si="12"/>
        <v>VIA PAOLO TOSCANELLI VICINO AL 60-</v>
      </c>
      <c r="C101" t="str">
        <f t="shared" ref="C101:C121" si="13">"3"</f>
        <v>3</v>
      </c>
      <c r="D101">
        <v>54</v>
      </c>
      <c r="E101" t="str">
        <f>"434"</f>
        <v>434</v>
      </c>
      <c r="F101" t="str">
        <f t="shared" ref="F101:F127" si="14">"0000"</f>
        <v>0000</v>
      </c>
    </row>
    <row r="102" spans="1:6">
      <c r="A102" t="str">
        <f>"T647-6"</f>
        <v>T647-6</v>
      </c>
      <c r="B102" t="str">
        <f t="shared" si="12"/>
        <v>VIA PAOLO TOSCANELLI VICINO AL 60-</v>
      </c>
      <c r="C102" t="str">
        <f t="shared" si="13"/>
        <v>3</v>
      </c>
      <c r="D102">
        <v>54</v>
      </c>
      <c r="E102" t="str">
        <f>"440"</f>
        <v>440</v>
      </c>
      <c r="F102" t="str">
        <f t="shared" si="14"/>
        <v>0000</v>
      </c>
    </row>
    <row r="103" spans="1:6">
      <c r="A103" t="str">
        <f>"T647-7"</f>
        <v>T647-7</v>
      </c>
      <c r="B103" t="str">
        <f t="shared" si="12"/>
        <v>VIA PAOLO TOSCANELLI VICINO AL 60-</v>
      </c>
      <c r="C103" t="str">
        <f t="shared" si="13"/>
        <v>3</v>
      </c>
      <c r="D103">
        <v>54</v>
      </c>
      <c r="E103" t="str">
        <f>"441"</f>
        <v>441</v>
      </c>
      <c r="F103" t="str">
        <f t="shared" si="14"/>
        <v>0000</v>
      </c>
    </row>
    <row r="104" spans="1:6">
      <c r="A104" t="str">
        <f>"T647-8"</f>
        <v>T647-8</v>
      </c>
      <c r="B104" t="str">
        <f t="shared" si="12"/>
        <v>VIA PAOLO TOSCANELLI VICINO AL 60-</v>
      </c>
      <c r="C104" t="str">
        <f t="shared" si="13"/>
        <v>3</v>
      </c>
      <c r="D104">
        <v>54</v>
      </c>
      <c r="E104" t="str">
        <f>"444"</f>
        <v>444</v>
      </c>
      <c r="F104" t="str">
        <f t="shared" si="14"/>
        <v>0000</v>
      </c>
    </row>
    <row r="105" spans="1:6">
      <c r="A105" t="str">
        <f>"T647-9"</f>
        <v>T647-9</v>
      </c>
      <c r="B105" t="str">
        <f t="shared" si="12"/>
        <v>VIA PAOLO TOSCANELLI VICINO AL 60-</v>
      </c>
      <c r="C105" t="str">
        <f t="shared" si="13"/>
        <v>3</v>
      </c>
      <c r="D105">
        <v>54</v>
      </c>
      <c r="E105" t="str">
        <f>"506"</f>
        <v>506</v>
      </c>
      <c r="F105" t="str">
        <f t="shared" si="14"/>
        <v>0000</v>
      </c>
    </row>
    <row r="106" spans="1:6">
      <c r="A106" t="str">
        <f>"T647-10"</f>
        <v>T647-10</v>
      </c>
      <c r="B106" t="str">
        <f t="shared" si="12"/>
        <v>VIA PAOLO TOSCANELLI VICINO AL 60-</v>
      </c>
      <c r="C106" t="str">
        <f t="shared" si="13"/>
        <v>3</v>
      </c>
      <c r="D106">
        <v>54</v>
      </c>
      <c r="E106" t="str">
        <f>"507"</f>
        <v>507</v>
      </c>
      <c r="F106" t="str">
        <f t="shared" si="14"/>
        <v>0000</v>
      </c>
    </row>
    <row r="107" spans="1:6">
      <c r="A107" t="str">
        <f>"T647-11"</f>
        <v>T647-11</v>
      </c>
      <c r="B107" t="str">
        <f t="shared" si="12"/>
        <v>VIA PAOLO TOSCANELLI VICINO AL 60-</v>
      </c>
      <c r="C107" t="str">
        <f t="shared" si="13"/>
        <v>3</v>
      </c>
      <c r="D107">
        <v>54</v>
      </c>
      <c r="E107" t="str">
        <f>"508"</f>
        <v>508</v>
      </c>
      <c r="F107" t="str">
        <f t="shared" si="14"/>
        <v>0000</v>
      </c>
    </row>
    <row r="108" spans="1:6">
      <c r="A108" t="str">
        <f>"T647-12"</f>
        <v>T647-12</v>
      </c>
      <c r="B108" t="str">
        <f t="shared" si="12"/>
        <v>VIA PAOLO TOSCANELLI VICINO AL 60-</v>
      </c>
      <c r="C108" t="str">
        <f t="shared" si="13"/>
        <v>3</v>
      </c>
      <c r="D108">
        <v>54</v>
      </c>
      <c r="E108" t="str">
        <f>"509"</f>
        <v>509</v>
      </c>
      <c r="F108" t="str">
        <f t="shared" si="14"/>
        <v>0000</v>
      </c>
    </row>
    <row r="109" spans="1:6">
      <c r="A109" t="str">
        <f>"T647-13"</f>
        <v>T647-13</v>
      </c>
      <c r="B109" t="str">
        <f t="shared" si="12"/>
        <v>VIA PAOLO TOSCANELLI VICINO AL 60-</v>
      </c>
      <c r="C109" t="str">
        <f t="shared" si="13"/>
        <v>3</v>
      </c>
      <c r="D109">
        <v>54</v>
      </c>
      <c r="E109" t="str">
        <f>"430"</f>
        <v>430</v>
      </c>
      <c r="F109" t="str">
        <f t="shared" si="14"/>
        <v>0000</v>
      </c>
    </row>
    <row r="110" spans="1:6">
      <c r="A110" t="str">
        <f>"T647-14"</f>
        <v>T647-14</v>
      </c>
      <c r="B110" t="str">
        <f t="shared" si="12"/>
        <v>VIA PAOLO TOSCANELLI VICINO AL 60-</v>
      </c>
      <c r="C110" t="str">
        <f t="shared" si="13"/>
        <v>3</v>
      </c>
      <c r="D110">
        <v>54</v>
      </c>
      <c r="E110" t="str">
        <f>"437"</f>
        <v>437</v>
      </c>
      <c r="F110" t="str">
        <f t="shared" si="14"/>
        <v>0000</v>
      </c>
    </row>
    <row r="111" spans="1:6">
      <c r="A111" t="str">
        <f>"T647-15"</f>
        <v>T647-15</v>
      </c>
      <c r="B111" t="str">
        <f t="shared" si="12"/>
        <v>VIA PAOLO TOSCANELLI VICINO AL 60-</v>
      </c>
      <c r="C111" t="str">
        <f t="shared" si="13"/>
        <v>3</v>
      </c>
      <c r="D111">
        <v>54</v>
      </c>
      <c r="E111" t="str">
        <f>"291"</f>
        <v>291</v>
      </c>
      <c r="F111" t="str">
        <f t="shared" si="14"/>
        <v>0000</v>
      </c>
    </row>
    <row r="112" spans="1:6">
      <c r="A112" t="str">
        <f>"T647-16"</f>
        <v>T647-16</v>
      </c>
      <c r="B112" t="str">
        <f t="shared" si="12"/>
        <v>VIA PAOLO TOSCANELLI VICINO AL 60-</v>
      </c>
      <c r="C112" t="str">
        <f t="shared" si="13"/>
        <v>3</v>
      </c>
      <c r="D112">
        <v>54</v>
      </c>
      <c r="E112" t="str">
        <f>"445"</f>
        <v>445</v>
      </c>
      <c r="F112" t="str">
        <f t="shared" si="14"/>
        <v>0000</v>
      </c>
    </row>
    <row r="113" spans="1:6">
      <c r="A113" t="str">
        <f>"T647-17"</f>
        <v>T647-17</v>
      </c>
      <c r="B113" t="str">
        <f t="shared" si="12"/>
        <v>VIA PAOLO TOSCANELLI VICINO AL 60-</v>
      </c>
      <c r="C113" t="str">
        <f t="shared" si="13"/>
        <v>3</v>
      </c>
      <c r="D113">
        <v>54</v>
      </c>
      <c r="E113" t="str">
        <f>"445"</f>
        <v>445</v>
      </c>
      <c r="F113" t="str">
        <f t="shared" si="14"/>
        <v>0000</v>
      </c>
    </row>
    <row r="114" spans="1:6">
      <c r="A114" t="str">
        <f>"T647-18"</f>
        <v>T647-18</v>
      </c>
      <c r="B114" t="str">
        <f t="shared" si="12"/>
        <v>VIA PAOLO TOSCANELLI VICINO AL 60-</v>
      </c>
      <c r="C114" t="str">
        <f t="shared" si="13"/>
        <v>3</v>
      </c>
      <c r="D114">
        <v>54</v>
      </c>
      <c r="E114" t="str">
        <f>"445"</f>
        <v>445</v>
      </c>
      <c r="F114" t="str">
        <f t="shared" si="14"/>
        <v>0000</v>
      </c>
    </row>
    <row r="115" spans="1:6">
      <c r="A115" t="str">
        <f>"T647-19"</f>
        <v>T647-19</v>
      </c>
      <c r="B115" t="str">
        <f t="shared" si="12"/>
        <v>VIA PAOLO TOSCANELLI VICINO AL 60-</v>
      </c>
      <c r="C115" t="str">
        <f t="shared" si="13"/>
        <v>3</v>
      </c>
      <c r="D115">
        <v>54</v>
      </c>
      <c r="E115" t="str">
        <f>"445"</f>
        <v>445</v>
      </c>
      <c r="F115" t="str">
        <f t="shared" si="14"/>
        <v>0000</v>
      </c>
    </row>
    <row r="116" spans="1:6">
      <c r="A116" t="str">
        <f>"T653-1"</f>
        <v>T653-1</v>
      </c>
      <c r="B116" t="str">
        <f t="shared" ref="B116:B121" si="15">"PIAZZA BERNARDO POCH  4-"</f>
        <v>PIAZZA BERNARDO POCH  4-</v>
      </c>
      <c r="C116" t="str">
        <f t="shared" si="13"/>
        <v>3</v>
      </c>
      <c r="D116">
        <v>55</v>
      </c>
      <c r="E116" t="str">
        <f>"169"</f>
        <v>169</v>
      </c>
      <c r="F116" t="str">
        <f t="shared" si="14"/>
        <v>0000</v>
      </c>
    </row>
    <row r="117" spans="1:6">
      <c r="A117" t="str">
        <f>"T653-2"</f>
        <v>T653-2</v>
      </c>
      <c r="B117" t="str">
        <f t="shared" si="15"/>
        <v>PIAZZA BERNARDO POCH  4-</v>
      </c>
      <c r="C117" t="str">
        <f t="shared" si="13"/>
        <v>3</v>
      </c>
      <c r="D117">
        <v>55</v>
      </c>
      <c r="E117" t="str">
        <f>"223"</f>
        <v>223</v>
      </c>
      <c r="F117" t="str">
        <f t="shared" si="14"/>
        <v>0000</v>
      </c>
    </row>
    <row r="118" spans="1:6">
      <c r="A118" t="str">
        <f>"T653-3"</f>
        <v>T653-3</v>
      </c>
      <c r="B118" t="str">
        <f t="shared" si="15"/>
        <v>PIAZZA BERNARDO POCH  4-</v>
      </c>
      <c r="C118" t="str">
        <f t="shared" si="13"/>
        <v>3</v>
      </c>
      <c r="D118">
        <v>55</v>
      </c>
      <c r="E118" t="str">
        <f>"319"</f>
        <v>319</v>
      </c>
      <c r="F118" t="str">
        <f t="shared" si="14"/>
        <v>0000</v>
      </c>
    </row>
    <row r="119" spans="1:6">
      <c r="A119" t="str">
        <f>"T653-5"</f>
        <v>T653-5</v>
      </c>
      <c r="B119" t="str">
        <f t="shared" si="15"/>
        <v>PIAZZA BERNARDO POCH  4-</v>
      </c>
      <c r="C119" t="str">
        <f t="shared" si="13"/>
        <v>3</v>
      </c>
      <c r="D119">
        <v>55</v>
      </c>
      <c r="E119" t="str">
        <f>"170"</f>
        <v>170</v>
      </c>
      <c r="F119" t="str">
        <f t="shared" si="14"/>
        <v>0000</v>
      </c>
    </row>
    <row r="120" spans="1:6">
      <c r="A120" t="str">
        <f>"T653-6"</f>
        <v>T653-6</v>
      </c>
      <c r="B120" t="str">
        <f t="shared" si="15"/>
        <v>PIAZZA BERNARDO POCH  4-</v>
      </c>
      <c r="C120" t="str">
        <f t="shared" si="13"/>
        <v>3</v>
      </c>
      <c r="D120">
        <v>55</v>
      </c>
      <c r="E120" t="str">
        <f>"172"</f>
        <v>172</v>
      </c>
      <c r="F120" t="str">
        <f t="shared" si="14"/>
        <v>0000</v>
      </c>
    </row>
    <row r="121" spans="1:6">
      <c r="A121" t="str">
        <f>"T653-7"</f>
        <v>T653-7</v>
      </c>
      <c r="B121" t="str">
        <f t="shared" si="15"/>
        <v>PIAZZA BERNARDO POCH  4-</v>
      </c>
      <c r="C121" t="str">
        <f t="shared" si="13"/>
        <v>3</v>
      </c>
      <c r="D121">
        <v>55</v>
      </c>
      <c r="E121" t="str">
        <f>"173"</f>
        <v>173</v>
      </c>
      <c r="F121" t="str">
        <f t="shared" si="14"/>
        <v>0000</v>
      </c>
    </row>
    <row r="122" spans="1:6">
      <c r="A122" t="str">
        <f>"T657-1"</f>
        <v>T657-1</v>
      </c>
      <c r="B122" t="str">
        <f t="shared" ref="B122:B132" si="16">"VICO VINCENZO MARCHESE  9-"</f>
        <v>VICO VINCENZO MARCHESE  9-</v>
      </c>
      <c r="C122" t="str">
        <f t="shared" ref="C122:C129" si="17">"COR"</f>
        <v>COR</v>
      </c>
      <c r="D122">
        <v>80</v>
      </c>
      <c r="E122" t="str">
        <f>"462"</f>
        <v>462</v>
      </c>
      <c r="F122" t="str">
        <f t="shared" si="14"/>
        <v>0000</v>
      </c>
    </row>
    <row r="123" spans="1:6">
      <c r="A123" t="str">
        <f>"T657-1"</f>
        <v>T657-1</v>
      </c>
      <c r="B123" t="str">
        <f t="shared" si="16"/>
        <v>VICO VINCENZO MARCHESE  9-</v>
      </c>
      <c r="C123" t="str">
        <f t="shared" si="17"/>
        <v>COR</v>
      </c>
      <c r="D123">
        <v>80</v>
      </c>
      <c r="E123" t="str">
        <f>"461"</f>
        <v>461</v>
      </c>
      <c r="F123" t="str">
        <f t="shared" si="14"/>
        <v>0000</v>
      </c>
    </row>
    <row r="124" spans="1:6">
      <c r="A124" t="str">
        <f>"T657-2"</f>
        <v>T657-2</v>
      </c>
      <c r="B124" t="str">
        <f t="shared" si="16"/>
        <v>VICO VINCENZO MARCHESE  9-</v>
      </c>
      <c r="C124" t="str">
        <f t="shared" si="17"/>
        <v>COR</v>
      </c>
      <c r="D124">
        <v>80</v>
      </c>
      <c r="E124" t="str">
        <f>"462"</f>
        <v>462</v>
      </c>
      <c r="F124" t="str">
        <f t="shared" si="14"/>
        <v>0000</v>
      </c>
    </row>
    <row r="125" spans="1:6">
      <c r="A125" t="str">
        <f>"T657-2"</f>
        <v>T657-2</v>
      </c>
      <c r="B125" t="str">
        <f t="shared" si="16"/>
        <v>VICO VINCENZO MARCHESE  9-</v>
      </c>
      <c r="C125" t="str">
        <f t="shared" si="17"/>
        <v>COR</v>
      </c>
      <c r="D125">
        <v>80</v>
      </c>
      <c r="E125" t="str">
        <f>"461"</f>
        <v>461</v>
      </c>
      <c r="F125" t="str">
        <f t="shared" si="14"/>
        <v>0000</v>
      </c>
    </row>
    <row r="126" spans="1:6">
      <c r="A126" t="str">
        <f>"T657-3"</f>
        <v>T657-3</v>
      </c>
      <c r="B126" t="str">
        <f t="shared" si="16"/>
        <v>VICO VINCENZO MARCHESE  9-</v>
      </c>
      <c r="C126" t="str">
        <f t="shared" si="17"/>
        <v>COR</v>
      </c>
      <c r="D126">
        <v>80</v>
      </c>
      <c r="E126" t="str">
        <f>"462"</f>
        <v>462</v>
      </c>
      <c r="F126" t="str">
        <f t="shared" si="14"/>
        <v>0000</v>
      </c>
    </row>
    <row r="127" spans="1:6">
      <c r="A127" t="str">
        <f>"T657-3"</f>
        <v>T657-3</v>
      </c>
      <c r="B127" t="str">
        <f t="shared" si="16"/>
        <v>VICO VINCENZO MARCHESE  9-</v>
      </c>
      <c r="C127" t="str">
        <f t="shared" si="17"/>
        <v>COR</v>
      </c>
      <c r="D127">
        <v>80</v>
      </c>
      <c r="E127" t="str">
        <f>"461"</f>
        <v>461</v>
      </c>
      <c r="F127" t="str">
        <f t="shared" si="14"/>
        <v>0000</v>
      </c>
    </row>
    <row r="128" spans="1:6">
      <c r="A128" t="str">
        <f>"T657-4"</f>
        <v>T657-4</v>
      </c>
      <c r="B128" t="str">
        <f t="shared" si="16"/>
        <v>VICO VINCENZO MARCHESE  9-</v>
      </c>
      <c r="C128" t="str">
        <f t="shared" si="17"/>
        <v>COR</v>
      </c>
      <c r="D128">
        <v>80</v>
      </c>
      <c r="E128" t="str">
        <f>"462"</f>
        <v>462</v>
      </c>
      <c r="F128" t="str">
        <f>"000"</f>
        <v>000</v>
      </c>
    </row>
    <row r="129" spans="1:6">
      <c r="A129" t="str">
        <f>"T657-4"</f>
        <v>T657-4</v>
      </c>
      <c r="B129" t="str">
        <f t="shared" si="16"/>
        <v>VICO VINCENZO MARCHESE  9-</v>
      </c>
      <c r="C129" t="str">
        <f t="shared" si="17"/>
        <v>COR</v>
      </c>
      <c r="D129">
        <v>80</v>
      </c>
      <c r="E129" t="str">
        <f>"461"</f>
        <v>461</v>
      </c>
      <c r="F129" t="str">
        <f t="shared" ref="F129:F160" si="18">"0000"</f>
        <v>0000</v>
      </c>
    </row>
    <row r="130" spans="1:6">
      <c r="A130" t="str">
        <f>"T657-5"</f>
        <v>T657-5</v>
      </c>
      <c r="B130" t="str">
        <f t="shared" si="16"/>
        <v>VICO VINCENZO MARCHESE  9-</v>
      </c>
      <c r="C130" t="str">
        <f t="shared" ref="C130:C161" si="19">"3"</f>
        <v>3</v>
      </c>
      <c r="D130">
        <v>80</v>
      </c>
      <c r="E130" t="str">
        <f>"518"</f>
        <v>518</v>
      </c>
      <c r="F130" t="str">
        <f t="shared" si="18"/>
        <v>0000</v>
      </c>
    </row>
    <row r="131" spans="1:6">
      <c r="A131" t="str">
        <f>"T657-5"</f>
        <v>T657-5</v>
      </c>
      <c r="B131" t="str">
        <f t="shared" si="16"/>
        <v>VICO VINCENZO MARCHESE  9-</v>
      </c>
      <c r="C131" t="str">
        <f t="shared" si="19"/>
        <v>3</v>
      </c>
      <c r="D131">
        <v>80</v>
      </c>
      <c r="E131" t="str">
        <f>"517"</f>
        <v>517</v>
      </c>
      <c r="F131" t="str">
        <f t="shared" si="18"/>
        <v>0000</v>
      </c>
    </row>
    <row r="132" spans="1:6">
      <c r="A132" t="str">
        <f>"T657-6"</f>
        <v>T657-6</v>
      </c>
      <c r="B132" t="str">
        <f t="shared" si="16"/>
        <v>VICO VINCENZO MARCHESE  9-</v>
      </c>
      <c r="C132" t="str">
        <f t="shared" si="19"/>
        <v>3</v>
      </c>
      <c r="D132">
        <v>80</v>
      </c>
      <c r="E132" t="str">
        <f>"99999"</f>
        <v>99999</v>
      </c>
      <c r="F132" t="str">
        <f t="shared" si="18"/>
        <v>0000</v>
      </c>
    </row>
    <row r="133" spans="1:6">
      <c r="A133" t="str">
        <f>"T658-1"</f>
        <v>T658-1</v>
      </c>
      <c r="B133" t="str">
        <f>"VIA SIGISMONDO MUSCOLA VICINO AL 25-"</f>
        <v>VIA SIGISMONDO MUSCOLA VICINO AL 25-</v>
      </c>
      <c r="C133" t="str">
        <f t="shared" si="19"/>
        <v>3</v>
      </c>
      <c r="D133">
        <v>70</v>
      </c>
      <c r="E133" t="str">
        <f>"357"</f>
        <v>357</v>
      </c>
      <c r="F133" t="str">
        <f t="shared" si="18"/>
        <v>0000</v>
      </c>
    </row>
    <row r="134" spans="1:6">
      <c r="A134" t="str">
        <f>"T658-2"</f>
        <v>T658-2</v>
      </c>
      <c r="B134" t="str">
        <f>"VIA SIGISMONDO MUSCOLA VICINO AL 25-"</f>
        <v>VIA SIGISMONDO MUSCOLA VICINO AL 25-</v>
      </c>
      <c r="C134" t="str">
        <f t="shared" si="19"/>
        <v>3</v>
      </c>
      <c r="D134">
        <v>70</v>
      </c>
      <c r="E134" t="str">
        <f>"358"</f>
        <v>358</v>
      </c>
      <c r="F134" t="str">
        <f t="shared" si="18"/>
        <v>0000</v>
      </c>
    </row>
    <row r="135" spans="1:6">
      <c r="A135" t="str">
        <f>"T658-3"</f>
        <v>T658-3</v>
      </c>
      <c r="B135" t="str">
        <f>"VIA SIGISMONDO MUSCOLA VICINO AL 25-"</f>
        <v>VIA SIGISMONDO MUSCOLA VICINO AL 25-</v>
      </c>
      <c r="C135" t="str">
        <f t="shared" si="19"/>
        <v>3</v>
      </c>
      <c r="D135">
        <v>70</v>
      </c>
      <c r="E135" t="str">
        <f>"359"</f>
        <v>359</v>
      </c>
      <c r="F135" t="str">
        <f t="shared" si="18"/>
        <v>0000</v>
      </c>
    </row>
    <row r="136" spans="1:6">
      <c r="A136" t="str">
        <f>"T659-1"</f>
        <v>T659-1</v>
      </c>
      <c r="B136" t="str">
        <f>"VIA PRIANO VICINO AL 9-"</f>
        <v>VIA PRIANO VICINO AL 9-</v>
      </c>
      <c r="C136" t="str">
        <f t="shared" si="19"/>
        <v>3</v>
      </c>
      <c r="D136">
        <v>70</v>
      </c>
      <c r="E136" t="str">
        <f>"360"</f>
        <v>360</v>
      </c>
      <c r="F136" t="str">
        <f t="shared" si="18"/>
        <v>0000</v>
      </c>
    </row>
    <row r="137" spans="1:6">
      <c r="A137" t="str">
        <f>"T659-2"</f>
        <v>T659-2</v>
      </c>
      <c r="B137" t="str">
        <f>"VIA PRIANO VICINO AL 9-"</f>
        <v>VIA PRIANO VICINO AL 9-</v>
      </c>
      <c r="C137" t="str">
        <f t="shared" si="19"/>
        <v>3</v>
      </c>
      <c r="D137">
        <v>70</v>
      </c>
      <c r="E137" t="str">
        <f>"26"</f>
        <v>26</v>
      </c>
      <c r="F137" t="str">
        <f t="shared" si="18"/>
        <v>0000</v>
      </c>
    </row>
    <row r="138" spans="1:6">
      <c r="A138" t="str">
        <f>"T660-1"</f>
        <v>T660-1</v>
      </c>
      <c r="B138" t="str">
        <f>"VIA CORONATA VICINO AL 43-"</f>
        <v>VIA CORONATA VICINO AL 43-</v>
      </c>
      <c r="C138" t="str">
        <f t="shared" si="19"/>
        <v>3</v>
      </c>
      <c r="D138">
        <v>78</v>
      </c>
      <c r="E138" t="str">
        <f>"736"</f>
        <v>736</v>
      </c>
      <c r="F138" t="str">
        <f t="shared" si="18"/>
        <v>0000</v>
      </c>
    </row>
    <row r="139" spans="1:6">
      <c r="A139" t="str">
        <f>"T661-1"</f>
        <v>T661-1</v>
      </c>
      <c r="B139" t="str">
        <f>"VIA SEDICI GIUGNO 1944 VICINO AL 30-"</f>
        <v>VIA SEDICI GIUGNO 1944 VICINO AL 30-</v>
      </c>
      <c r="C139" t="str">
        <f t="shared" si="19"/>
        <v>3</v>
      </c>
      <c r="D139">
        <v>54</v>
      </c>
      <c r="E139" t="str">
        <f>"105"</f>
        <v>105</v>
      </c>
      <c r="F139" t="str">
        <f t="shared" si="18"/>
        <v>0000</v>
      </c>
    </row>
    <row r="140" spans="1:6">
      <c r="A140" t="str">
        <f>"T661-2"</f>
        <v>T661-2</v>
      </c>
      <c r="B140" t="str">
        <f>"VIA SEDICI GIUGNO 1944 VICINO AL 30-"</f>
        <v>VIA SEDICI GIUGNO 1944 VICINO AL 30-</v>
      </c>
      <c r="C140" t="str">
        <f t="shared" si="19"/>
        <v>3</v>
      </c>
      <c r="D140">
        <v>53</v>
      </c>
      <c r="E140" t="str">
        <f>"27"</f>
        <v>27</v>
      </c>
      <c r="F140" t="str">
        <f t="shared" si="18"/>
        <v>0000</v>
      </c>
    </row>
    <row r="141" spans="1:6">
      <c r="A141" t="str">
        <f>"T661-3"</f>
        <v>T661-3</v>
      </c>
      <c r="B141" t="str">
        <f>"VIA SEDICI GIUGNO 1944 VICINO AL 30-"</f>
        <v>VIA SEDICI GIUGNO 1944 VICINO AL 30-</v>
      </c>
      <c r="C141" t="str">
        <f t="shared" si="19"/>
        <v>3</v>
      </c>
      <c r="D141">
        <v>53</v>
      </c>
      <c r="E141" t="str">
        <f>"28"</f>
        <v>28</v>
      </c>
      <c r="F141" t="str">
        <f t="shared" si="18"/>
        <v>0000</v>
      </c>
    </row>
    <row r="142" spans="1:6">
      <c r="A142" t="str">
        <f>"T661-4"</f>
        <v>T661-4</v>
      </c>
      <c r="B142" t="str">
        <f>"VIA SEDICI GIUGNO 1944 VICINO AL 30-"</f>
        <v>VIA SEDICI GIUGNO 1944 VICINO AL 30-</v>
      </c>
      <c r="C142" t="str">
        <f t="shared" si="19"/>
        <v>3</v>
      </c>
      <c r="D142">
        <v>53</v>
      </c>
      <c r="E142" t="str">
        <f>"29"</f>
        <v>29</v>
      </c>
      <c r="F142" t="str">
        <f t="shared" si="18"/>
        <v>0000</v>
      </c>
    </row>
    <row r="143" spans="1:6">
      <c r="A143" t="str">
        <f>"T662-1"</f>
        <v>T662-1</v>
      </c>
      <c r="B143" t="str">
        <f>"VIA STEFANO JACINI VICINO AL 2-"</f>
        <v>VIA STEFANO JACINI VICINO AL 2-</v>
      </c>
      <c r="C143" t="str">
        <f t="shared" si="19"/>
        <v>3</v>
      </c>
      <c r="D143">
        <v>56</v>
      </c>
      <c r="E143" t="str">
        <f>"660"</f>
        <v>660</v>
      </c>
      <c r="F143" t="str">
        <f t="shared" si="18"/>
        <v>0000</v>
      </c>
    </row>
    <row r="144" spans="1:6">
      <c r="A144" t="str">
        <f>"T664-1"</f>
        <v>T664-1</v>
      </c>
      <c r="B144" t="str">
        <f t="shared" ref="B144:B150" si="20">"VIA MARIO BOEDDU VICINO AL 8-"</f>
        <v>VIA MARIO BOEDDU VICINO AL 8-</v>
      </c>
      <c r="C144" t="str">
        <f t="shared" si="19"/>
        <v>3</v>
      </c>
      <c r="D144">
        <v>76</v>
      </c>
      <c r="E144" t="str">
        <f>"54"</f>
        <v>54</v>
      </c>
      <c r="F144" t="str">
        <f t="shared" si="18"/>
        <v>0000</v>
      </c>
    </row>
    <row r="145" spans="1:6">
      <c r="A145" t="str">
        <f>"T664-2"</f>
        <v>T664-2</v>
      </c>
      <c r="B145" t="str">
        <f t="shared" si="20"/>
        <v>VIA MARIO BOEDDU VICINO AL 8-</v>
      </c>
      <c r="C145" t="str">
        <f t="shared" si="19"/>
        <v>3</v>
      </c>
      <c r="D145">
        <v>76</v>
      </c>
      <c r="E145" t="str">
        <f>"932"</f>
        <v>932</v>
      </c>
      <c r="F145" t="str">
        <f t="shared" si="18"/>
        <v>0000</v>
      </c>
    </row>
    <row r="146" spans="1:6">
      <c r="A146" t="str">
        <f>"T664-3"</f>
        <v>T664-3</v>
      </c>
      <c r="B146" t="str">
        <f t="shared" si="20"/>
        <v>VIA MARIO BOEDDU VICINO AL 8-</v>
      </c>
      <c r="C146" t="str">
        <f t="shared" si="19"/>
        <v>3</v>
      </c>
      <c r="D146">
        <v>76</v>
      </c>
      <c r="E146" t="str">
        <f>"933"</f>
        <v>933</v>
      </c>
      <c r="F146" t="str">
        <f t="shared" si="18"/>
        <v>0000</v>
      </c>
    </row>
    <row r="147" spans="1:6">
      <c r="A147" t="str">
        <f>"T665-1"</f>
        <v>T665-1</v>
      </c>
      <c r="B147" t="str">
        <f t="shared" si="20"/>
        <v>VIA MARIO BOEDDU VICINO AL 8-</v>
      </c>
      <c r="C147" t="str">
        <f t="shared" si="19"/>
        <v>3</v>
      </c>
      <c r="D147">
        <v>76</v>
      </c>
      <c r="E147" t="str">
        <f>"254"</f>
        <v>254</v>
      </c>
      <c r="F147" t="str">
        <f t="shared" si="18"/>
        <v>0000</v>
      </c>
    </row>
    <row r="148" spans="1:6">
      <c r="A148" t="str">
        <f>"T665-2"</f>
        <v>T665-2</v>
      </c>
      <c r="B148" t="str">
        <f t="shared" si="20"/>
        <v>VIA MARIO BOEDDU VICINO AL 8-</v>
      </c>
      <c r="C148" t="str">
        <f t="shared" si="19"/>
        <v>3</v>
      </c>
      <c r="D148">
        <v>76</v>
      </c>
      <c r="E148" t="str">
        <f>"654"</f>
        <v>654</v>
      </c>
      <c r="F148" t="str">
        <f t="shared" si="18"/>
        <v>0000</v>
      </c>
    </row>
    <row r="149" spans="1:6">
      <c r="A149" t="str">
        <f>"T665-3"</f>
        <v>T665-3</v>
      </c>
      <c r="B149" t="str">
        <f t="shared" si="20"/>
        <v>VIA MARIO BOEDDU VICINO AL 8-</v>
      </c>
      <c r="C149" t="str">
        <f t="shared" si="19"/>
        <v>3</v>
      </c>
      <c r="D149">
        <v>76</v>
      </c>
      <c r="E149" t="str">
        <f>"655"</f>
        <v>655</v>
      </c>
      <c r="F149" t="str">
        <f t="shared" si="18"/>
        <v>0000</v>
      </c>
    </row>
    <row r="150" spans="1:6">
      <c r="A150" t="str">
        <f>"T665-4"</f>
        <v>T665-4</v>
      </c>
      <c r="B150" t="str">
        <f t="shared" si="20"/>
        <v>VIA MARIO BOEDDU VICINO AL 8-</v>
      </c>
      <c r="C150" t="str">
        <f t="shared" si="19"/>
        <v>3</v>
      </c>
      <c r="D150">
        <v>76</v>
      </c>
      <c r="E150" t="str">
        <f>"933"</f>
        <v>933</v>
      </c>
      <c r="F150" t="str">
        <f t="shared" si="18"/>
        <v>0000</v>
      </c>
    </row>
    <row r="151" spans="1:6">
      <c r="A151" t="str">
        <f>"T666-1"</f>
        <v>T666-1</v>
      </c>
      <c r="B151" t="str">
        <f>"VIA BORZOLI VICINO AL 65-"</f>
        <v>VIA BORZOLI VICINO AL 65-</v>
      </c>
      <c r="C151" t="str">
        <f t="shared" si="19"/>
        <v>3</v>
      </c>
      <c r="D151">
        <v>66</v>
      </c>
      <c r="E151" t="str">
        <f>"274"</f>
        <v>274</v>
      </c>
      <c r="F151" t="str">
        <f t="shared" si="18"/>
        <v>0000</v>
      </c>
    </row>
    <row r="152" spans="1:6">
      <c r="A152" t="str">
        <f>"T667-1"</f>
        <v>T667-1</v>
      </c>
      <c r="B152" t="str">
        <f>"VIA VIRGO POTENS VICINO AL 6-"</f>
        <v>VIA VIRGO POTENS VICINO AL 6-</v>
      </c>
      <c r="C152" t="str">
        <f t="shared" si="19"/>
        <v>3</v>
      </c>
      <c r="D152">
        <v>65</v>
      </c>
      <c r="E152" t="str">
        <f>"251"</f>
        <v>251</v>
      </c>
      <c r="F152" t="str">
        <f t="shared" si="18"/>
        <v>0000</v>
      </c>
    </row>
    <row r="153" spans="1:6">
      <c r="A153" t="str">
        <f>"T667-2"</f>
        <v>T667-2</v>
      </c>
      <c r="B153" t="str">
        <f>"VIA VIRGO POTENS VICINO AL 6-"</f>
        <v>VIA VIRGO POTENS VICINO AL 6-</v>
      </c>
      <c r="C153" t="str">
        <f t="shared" si="19"/>
        <v>3</v>
      </c>
      <c r="D153">
        <v>65</v>
      </c>
      <c r="E153" t="str">
        <f>"447"</f>
        <v>447</v>
      </c>
      <c r="F153" t="str">
        <f t="shared" si="18"/>
        <v>0000</v>
      </c>
    </row>
    <row r="154" spans="1:6">
      <c r="A154" t="str">
        <f>"T668-1"</f>
        <v>T668-1</v>
      </c>
      <c r="B154" t="str">
        <f t="shared" ref="B154:B159" si="21">"VIA ALLE VECCHIE FORNACI VICINO AL 8B-"</f>
        <v>VIA ALLE VECCHIE FORNACI VICINO AL 8B-</v>
      </c>
      <c r="C154" t="str">
        <f t="shared" si="19"/>
        <v>3</v>
      </c>
      <c r="D154">
        <v>52</v>
      </c>
      <c r="E154" t="str">
        <f>"B"</f>
        <v>B</v>
      </c>
      <c r="F154" t="str">
        <f t="shared" si="18"/>
        <v>0000</v>
      </c>
    </row>
    <row r="155" spans="1:6">
      <c r="A155" t="str">
        <f>"T668-2"</f>
        <v>T668-2</v>
      </c>
      <c r="B155" t="str">
        <f t="shared" si="21"/>
        <v>VIA ALLE VECCHIE FORNACI VICINO AL 8B-</v>
      </c>
      <c r="C155" t="str">
        <f t="shared" si="19"/>
        <v>3</v>
      </c>
      <c r="D155">
        <v>52</v>
      </c>
      <c r="E155" t="str">
        <f>"801"</f>
        <v>801</v>
      </c>
      <c r="F155" t="str">
        <f t="shared" si="18"/>
        <v>0000</v>
      </c>
    </row>
    <row r="156" spans="1:6">
      <c r="A156" t="str">
        <f>"T668-3"</f>
        <v>T668-3</v>
      </c>
      <c r="B156" t="str">
        <f t="shared" si="21"/>
        <v>VIA ALLE VECCHIE FORNACI VICINO AL 8B-</v>
      </c>
      <c r="C156" t="str">
        <f t="shared" si="19"/>
        <v>3</v>
      </c>
      <c r="D156">
        <v>52</v>
      </c>
      <c r="E156" t="str">
        <f>"221"</f>
        <v>221</v>
      </c>
      <c r="F156" t="str">
        <f t="shared" si="18"/>
        <v>0000</v>
      </c>
    </row>
    <row r="157" spans="1:6">
      <c r="A157" t="str">
        <f>"T668-4"</f>
        <v>T668-4</v>
      </c>
      <c r="B157" t="str">
        <f t="shared" si="21"/>
        <v>VIA ALLE VECCHIE FORNACI VICINO AL 8B-</v>
      </c>
      <c r="C157" t="str">
        <f t="shared" si="19"/>
        <v>3</v>
      </c>
      <c r="D157">
        <v>52</v>
      </c>
      <c r="E157" t="str">
        <f>"222"</f>
        <v>222</v>
      </c>
      <c r="F157" t="str">
        <f t="shared" si="18"/>
        <v>0000</v>
      </c>
    </row>
    <row r="158" spans="1:6">
      <c r="A158" t="str">
        <f>"T668-5"</f>
        <v>T668-5</v>
      </c>
      <c r="B158" t="str">
        <f t="shared" si="21"/>
        <v>VIA ALLE VECCHIE FORNACI VICINO AL 8B-</v>
      </c>
      <c r="C158" t="str">
        <f t="shared" si="19"/>
        <v>3</v>
      </c>
      <c r="D158">
        <v>52</v>
      </c>
      <c r="E158" t="str">
        <f>"224"</f>
        <v>224</v>
      </c>
      <c r="F158" t="str">
        <f t="shared" si="18"/>
        <v>0000</v>
      </c>
    </row>
    <row r="159" spans="1:6">
      <c r="A159" t="str">
        <f>"T668-6"</f>
        <v>T668-6</v>
      </c>
      <c r="B159" t="str">
        <f t="shared" si="21"/>
        <v>VIA ALLE VECCHIE FORNACI VICINO AL 8B-</v>
      </c>
      <c r="C159" t="str">
        <f t="shared" si="19"/>
        <v>3</v>
      </c>
      <c r="D159">
        <v>52</v>
      </c>
      <c r="E159" t="str">
        <f>"225"</f>
        <v>225</v>
      </c>
      <c r="F159" t="str">
        <f t="shared" si="18"/>
        <v>0000</v>
      </c>
    </row>
    <row r="160" spans="1:6">
      <c r="A160" t="str">
        <f>"T669-1"</f>
        <v>T669-1</v>
      </c>
      <c r="B160" t="str">
        <f>"VIA SANT ALBERTO VICINO AL 35-"</f>
        <v>VIA SANT ALBERTO VICINO AL 35-</v>
      </c>
      <c r="C160" t="str">
        <f t="shared" si="19"/>
        <v>3</v>
      </c>
      <c r="D160">
        <v>51</v>
      </c>
      <c r="E160" t="str">
        <f>"312"</f>
        <v>312</v>
      </c>
      <c r="F160" t="str">
        <f t="shared" si="18"/>
        <v>0000</v>
      </c>
    </row>
    <row r="161" spans="1:6">
      <c r="A161" t="str">
        <f>"T670-1"</f>
        <v>T670-1</v>
      </c>
      <c r="B161" t="str">
        <f>"VIA LODOVICO CALDA VICINO AL 41-"</f>
        <v>VIA LODOVICO CALDA VICINO AL 41-</v>
      </c>
      <c r="C161" t="str">
        <f t="shared" si="19"/>
        <v>3</v>
      </c>
      <c r="D161">
        <v>76</v>
      </c>
      <c r="E161" t="str">
        <f>"448"</f>
        <v>448</v>
      </c>
      <c r="F161" t="str">
        <f t="shared" ref="F161:F192" si="22">"0000"</f>
        <v>0000</v>
      </c>
    </row>
    <row r="162" spans="1:6">
      <c r="A162" t="str">
        <f>"T670-2"</f>
        <v>T670-2</v>
      </c>
      <c r="B162" t="str">
        <f>"VIA LODOVICO CALDA VICINO AL 41-"</f>
        <v>VIA LODOVICO CALDA VICINO AL 41-</v>
      </c>
      <c r="C162" t="str">
        <f t="shared" ref="C162:C193" si="23">"3"</f>
        <v>3</v>
      </c>
      <c r="D162">
        <v>76</v>
      </c>
      <c r="E162" t="str">
        <f>"449"</f>
        <v>449</v>
      </c>
      <c r="F162" t="str">
        <f t="shared" si="22"/>
        <v>0000</v>
      </c>
    </row>
    <row r="163" spans="1:6">
      <c r="A163" t="str">
        <f>"T671-1"</f>
        <v>T671-1</v>
      </c>
      <c r="B163" t="str">
        <f>"VIA SANT ALBERTO  44-"</f>
        <v>VIA SANT ALBERTO  44-</v>
      </c>
      <c r="C163" t="str">
        <f t="shared" si="23"/>
        <v>3</v>
      </c>
      <c r="D163">
        <v>51</v>
      </c>
      <c r="E163" t="str">
        <f>"B"</f>
        <v>B</v>
      </c>
      <c r="F163" t="str">
        <f t="shared" si="22"/>
        <v>0000</v>
      </c>
    </row>
    <row r="164" spans="1:6">
      <c r="A164" t="str">
        <f>"T671-2"</f>
        <v>T671-2</v>
      </c>
      <c r="B164" t="str">
        <f>"VIA SANT ALBERTO  44-"</f>
        <v>VIA SANT ALBERTO  44-</v>
      </c>
      <c r="C164" t="str">
        <f t="shared" si="23"/>
        <v>3</v>
      </c>
      <c r="D164">
        <v>51</v>
      </c>
      <c r="E164" t="str">
        <f>"271"</f>
        <v>271</v>
      </c>
      <c r="F164" t="str">
        <f t="shared" si="22"/>
        <v>0000</v>
      </c>
    </row>
    <row r="165" spans="1:6">
      <c r="A165" t="str">
        <f>"T671-3"</f>
        <v>T671-3</v>
      </c>
      <c r="B165" t="str">
        <f>"VIA SANT ALBERTO  44-"</f>
        <v>VIA SANT ALBERTO  44-</v>
      </c>
      <c r="C165" t="str">
        <f t="shared" si="23"/>
        <v>3</v>
      </c>
      <c r="D165">
        <v>51</v>
      </c>
      <c r="E165" t="str">
        <f>"517"</f>
        <v>517</v>
      </c>
      <c r="F165" t="str">
        <f t="shared" si="22"/>
        <v>0000</v>
      </c>
    </row>
    <row r="166" spans="1:6">
      <c r="A166" t="str">
        <f>"T671-4"</f>
        <v>T671-4</v>
      </c>
      <c r="B166" t="str">
        <f>"VIA SANT ALBERTO  44-"</f>
        <v>VIA SANT ALBERTO  44-</v>
      </c>
      <c r="C166" t="str">
        <f t="shared" si="23"/>
        <v>3</v>
      </c>
      <c r="D166">
        <v>51</v>
      </c>
      <c r="E166" t="str">
        <f>"280"</f>
        <v>280</v>
      </c>
      <c r="F166" t="str">
        <f t="shared" si="22"/>
        <v>0000</v>
      </c>
    </row>
    <row r="167" spans="1:6">
      <c r="A167" t="str">
        <f>"T672-1"</f>
        <v>T672-1</v>
      </c>
      <c r="B167" t="str">
        <f>"VIA SANT ALBERTO VICINO AL 44-"</f>
        <v>VIA SANT ALBERTO VICINO AL 44-</v>
      </c>
      <c r="C167" t="str">
        <f t="shared" si="23"/>
        <v>3</v>
      </c>
      <c r="D167">
        <v>51</v>
      </c>
      <c r="E167" t="str">
        <f>"814"</f>
        <v>814</v>
      </c>
      <c r="F167" t="str">
        <f t="shared" si="22"/>
        <v>0000</v>
      </c>
    </row>
    <row r="168" spans="1:6">
      <c r="A168" t="str">
        <f>"T672-2"</f>
        <v>T672-2</v>
      </c>
      <c r="B168" t="str">
        <f>"VIA SANT ALBERTO VICINO AL 44-"</f>
        <v>VIA SANT ALBERTO VICINO AL 44-</v>
      </c>
      <c r="C168" t="str">
        <f t="shared" si="23"/>
        <v>3</v>
      </c>
      <c r="D168">
        <v>51</v>
      </c>
      <c r="E168" t="str">
        <f>"615"</f>
        <v>615</v>
      </c>
      <c r="F168" t="str">
        <f t="shared" si="22"/>
        <v>0000</v>
      </c>
    </row>
    <row r="169" spans="1:6">
      <c r="A169" t="str">
        <f>"T678-1"</f>
        <v>T678-1</v>
      </c>
      <c r="B169" t="str">
        <f>"VIA SUPERIORE GAZZO VICINO AL 59-"</f>
        <v>VIA SUPERIORE GAZZO VICINO AL 59-</v>
      </c>
      <c r="C169" t="str">
        <f t="shared" si="23"/>
        <v>3</v>
      </c>
      <c r="D169">
        <v>52</v>
      </c>
      <c r="E169" t="str">
        <f>"642"</f>
        <v>642</v>
      </c>
      <c r="F169" t="str">
        <f t="shared" si="22"/>
        <v>0000</v>
      </c>
    </row>
    <row r="170" spans="1:6">
      <c r="A170" t="str">
        <f>"T679-1"</f>
        <v>T679-1</v>
      </c>
      <c r="B170" t="str">
        <f>"VIA GIOVANNI ARRIVABENE VICINO AL 35-"</f>
        <v>VIA GIOVANNI ARRIVABENE VICINO AL 35-</v>
      </c>
      <c r="C170" t="str">
        <f t="shared" si="23"/>
        <v>3</v>
      </c>
      <c r="D170">
        <v>54</v>
      </c>
      <c r="E170" t="str">
        <f>"523"</f>
        <v>523</v>
      </c>
      <c r="F170" t="str">
        <f t="shared" si="22"/>
        <v>0000</v>
      </c>
    </row>
    <row r="171" spans="1:6">
      <c r="A171" t="str">
        <f>"T680-1"</f>
        <v>T680-1</v>
      </c>
      <c r="B171" t="str">
        <f t="shared" ref="B171:B195" si="24">"VIA DELL ACCIAIO VICINO AL 139-"</f>
        <v>VIA DELL ACCIAIO VICINO AL 139-</v>
      </c>
      <c r="C171" t="str">
        <f t="shared" si="23"/>
        <v>3</v>
      </c>
      <c r="D171">
        <v>76</v>
      </c>
      <c r="E171" t="str">
        <f>"100"</f>
        <v>100</v>
      </c>
      <c r="F171" t="str">
        <f t="shared" si="22"/>
        <v>0000</v>
      </c>
    </row>
    <row r="172" spans="1:6">
      <c r="A172" t="str">
        <f>"T680-2"</f>
        <v>T680-2</v>
      </c>
      <c r="B172" t="str">
        <f t="shared" si="24"/>
        <v>VIA DELL ACCIAIO VICINO AL 139-</v>
      </c>
      <c r="C172" t="str">
        <f t="shared" si="23"/>
        <v>3</v>
      </c>
      <c r="D172">
        <v>76</v>
      </c>
      <c r="E172" t="str">
        <f>"183"</f>
        <v>183</v>
      </c>
      <c r="F172" t="str">
        <f t="shared" si="22"/>
        <v>0000</v>
      </c>
    </row>
    <row r="173" spans="1:6">
      <c r="A173" t="str">
        <f>"T680-3"</f>
        <v>T680-3</v>
      </c>
      <c r="B173" t="str">
        <f t="shared" si="24"/>
        <v>VIA DELL ACCIAIO VICINO AL 139-</v>
      </c>
      <c r="C173" t="str">
        <f t="shared" si="23"/>
        <v>3</v>
      </c>
      <c r="D173">
        <v>76</v>
      </c>
      <c r="E173" t="str">
        <f>"184"</f>
        <v>184</v>
      </c>
      <c r="F173" t="str">
        <f t="shared" si="22"/>
        <v>0000</v>
      </c>
    </row>
    <row r="174" spans="1:6">
      <c r="A174" t="str">
        <f>"T680-4"</f>
        <v>T680-4</v>
      </c>
      <c r="B174" t="str">
        <f t="shared" si="24"/>
        <v>VIA DELL ACCIAIO VICINO AL 139-</v>
      </c>
      <c r="C174" t="str">
        <f t="shared" si="23"/>
        <v>3</v>
      </c>
      <c r="D174">
        <v>76</v>
      </c>
      <c r="E174" t="str">
        <f>"185"</f>
        <v>185</v>
      </c>
      <c r="F174" t="str">
        <f t="shared" si="22"/>
        <v>0000</v>
      </c>
    </row>
    <row r="175" spans="1:6">
      <c r="A175" t="str">
        <f>"T680-5"</f>
        <v>T680-5</v>
      </c>
      <c r="B175" t="str">
        <f t="shared" si="24"/>
        <v>VIA DELL ACCIAIO VICINO AL 139-</v>
      </c>
      <c r="C175" t="str">
        <f t="shared" si="23"/>
        <v>3</v>
      </c>
      <c r="D175">
        <v>76</v>
      </c>
      <c r="E175" t="str">
        <f>"186"</f>
        <v>186</v>
      </c>
      <c r="F175" t="str">
        <f t="shared" si="22"/>
        <v>0000</v>
      </c>
    </row>
    <row r="176" spans="1:6">
      <c r="A176" t="str">
        <f>"T680-6"</f>
        <v>T680-6</v>
      </c>
      <c r="B176" t="str">
        <f t="shared" si="24"/>
        <v>VIA DELL ACCIAIO VICINO AL 139-</v>
      </c>
      <c r="C176" t="str">
        <f t="shared" si="23"/>
        <v>3</v>
      </c>
      <c r="D176">
        <v>76</v>
      </c>
      <c r="E176" t="str">
        <f>"187"</f>
        <v>187</v>
      </c>
      <c r="F176" t="str">
        <f t="shared" si="22"/>
        <v>0000</v>
      </c>
    </row>
    <row r="177" spans="1:6">
      <c r="A177" t="str">
        <f>"T680-8"</f>
        <v>T680-8</v>
      </c>
      <c r="B177" t="str">
        <f t="shared" si="24"/>
        <v>VIA DELL ACCIAIO VICINO AL 139-</v>
      </c>
      <c r="C177" t="str">
        <f t="shared" si="23"/>
        <v>3</v>
      </c>
      <c r="D177">
        <v>76</v>
      </c>
      <c r="E177" t="str">
        <f>"316"</f>
        <v>316</v>
      </c>
      <c r="F177" t="str">
        <f t="shared" si="22"/>
        <v>0000</v>
      </c>
    </row>
    <row r="178" spans="1:6">
      <c r="A178" t="str">
        <f>"T680-10"</f>
        <v>T680-10</v>
      </c>
      <c r="B178" t="str">
        <f t="shared" si="24"/>
        <v>VIA DELL ACCIAIO VICINO AL 139-</v>
      </c>
      <c r="C178" t="str">
        <f t="shared" si="23"/>
        <v>3</v>
      </c>
      <c r="D178">
        <v>76</v>
      </c>
      <c r="E178" t="str">
        <f>"323"</f>
        <v>323</v>
      </c>
      <c r="F178" t="str">
        <f t="shared" si="22"/>
        <v>0000</v>
      </c>
    </row>
    <row r="179" spans="1:6">
      <c r="A179" t="str">
        <f>"T680-11"</f>
        <v>T680-11</v>
      </c>
      <c r="B179" t="str">
        <f t="shared" si="24"/>
        <v>VIA DELL ACCIAIO VICINO AL 139-</v>
      </c>
      <c r="C179" t="str">
        <f t="shared" si="23"/>
        <v>3</v>
      </c>
      <c r="D179">
        <v>76</v>
      </c>
      <c r="E179" t="str">
        <f>"331"</f>
        <v>331</v>
      </c>
      <c r="F179" t="str">
        <f t="shared" si="22"/>
        <v>0000</v>
      </c>
    </row>
    <row r="180" spans="1:6">
      <c r="A180" t="str">
        <f>"T680-12"</f>
        <v>T680-12</v>
      </c>
      <c r="B180" t="str">
        <f t="shared" si="24"/>
        <v>VIA DELL ACCIAIO VICINO AL 139-</v>
      </c>
      <c r="C180" t="str">
        <f t="shared" si="23"/>
        <v>3</v>
      </c>
      <c r="D180">
        <v>76</v>
      </c>
      <c r="E180" t="str">
        <f>"335"</f>
        <v>335</v>
      </c>
      <c r="F180" t="str">
        <f t="shared" si="22"/>
        <v>0000</v>
      </c>
    </row>
    <row r="181" spans="1:6">
      <c r="A181" t="str">
        <f>"T680-15"</f>
        <v>T680-15</v>
      </c>
      <c r="B181" t="str">
        <f t="shared" si="24"/>
        <v>VIA DELL ACCIAIO VICINO AL 139-</v>
      </c>
      <c r="C181" t="str">
        <f t="shared" si="23"/>
        <v>3</v>
      </c>
      <c r="D181">
        <v>76</v>
      </c>
      <c r="E181" t="str">
        <f>"433"</f>
        <v>433</v>
      </c>
      <c r="F181" t="str">
        <f t="shared" si="22"/>
        <v>0000</v>
      </c>
    </row>
    <row r="182" spans="1:6">
      <c r="A182" t="str">
        <f>"T680-16"</f>
        <v>T680-16</v>
      </c>
      <c r="B182" t="str">
        <f t="shared" si="24"/>
        <v>VIA DELL ACCIAIO VICINO AL 139-</v>
      </c>
      <c r="C182" t="str">
        <f t="shared" si="23"/>
        <v>3</v>
      </c>
      <c r="D182">
        <v>76</v>
      </c>
      <c r="E182" t="str">
        <f>"444"</f>
        <v>444</v>
      </c>
      <c r="F182" t="str">
        <f t="shared" si="22"/>
        <v>0000</v>
      </c>
    </row>
    <row r="183" spans="1:6">
      <c r="A183" t="str">
        <f>"T680-17"</f>
        <v>T680-17</v>
      </c>
      <c r="B183" t="str">
        <f t="shared" si="24"/>
        <v>VIA DELL ACCIAIO VICINO AL 139-</v>
      </c>
      <c r="C183" t="str">
        <f t="shared" si="23"/>
        <v>3</v>
      </c>
      <c r="D183">
        <v>76</v>
      </c>
      <c r="E183" t="str">
        <f>"445"</f>
        <v>445</v>
      </c>
      <c r="F183" t="str">
        <f t="shared" si="22"/>
        <v>0000</v>
      </c>
    </row>
    <row r="184" spans="1:6">
      <c r="A184" t="str">
        <f>"T680-18"</f>
        <v>T680-18</v>
      </c>
      <c r="B184" t="str">
        <f t="shared" si="24"/>
        <v>VIA DELL ACCIAIO VICINO AL 139-</v>
      </c>
      <c r="C184" t="str">
        <f t="shared" si="23"/>
        <v>3</v>
      </c>
      <c r="D184">
        <v>76</v>
      </c>
      <c r="E184" t="str">
        <f>"446"</f>
        <v>446</v>
      </c>
      <c r="F184" t="str">
        <f t="shared" si="22"/>
        <v>0000</v>
      </c>
    </row>
    <row r="185" spans="1:6">
      <c r="A185" t="str">
        <f>"T680-20"</f>
        <v>T680-20</v>
      </c>
      <c r="B185" t="str">
        <f t="shared" si="24"/>
        <v>VIA DELL ACCIAIO VICINO AL 139-</v>
      </c>
      <c r="C185" t="str">
        <f t="shared" si="23"/>
        <v>3</v>
      </c>
      <c r="D185">
        <v>76</v>
      </c>
      <c r="E185" t="str">
        <f>"647"</f>
        <v>647</v>
      </c>
      <c r="F185" t="str">
        <f t="shared" si="22"/>
        <v>0000</v>
      </c>
    </row>
    <row r="186" spans="1:6">
      <c r="A186" t="str">
        <f>"T680-21"</f>
        <v>T680-21</v>
      </c>
      <c r="B186" t="str">
        <f t="shared" si="24"/>
        <v>VIA DELL ACCIAIO VICINO AL 139-</v>
      </c>
      <c r="C186" t="str">
        <f t="shared" si="23"/>
        <v>3</v>
      </c>
      <c r="D186">
        <v>76</v>
      </c>
      <c r="E186" t="str">
        <f>"648"</f>
        <v>648</v>
      </c>
      <c r="F186" t="str">
        <f t="shared" si="22"/>
        <v>0000</v>
      </c>
    </row>
    <row r="187" spans="1:6">
      <c r="A187" t="str">
        <f>"T680-22"</f>
        <v>T680-22</v>
      </c>
      <c r="B187" t="str">
        <f t="shared" si="24"/>
        <v>VIA DELL ACCIAIO VICINO AL 139-</v>
      </c>
      <c r="C187" t="str">
        <f t="shared" si="23"/>
        <v>3</v>
      </c>
      <c r="D187">
        <v>76</v>
      </c>
      <c r="E187" t="str">
        <f>"650"</f>
        <v>650</v>
      </c>
      <c r="F187" t="str">
        <f t="shared" si="22"/>
        <v>0000</v>
      </c>
    </row>
    <row r="188" spans="1:6">
      <c r="A188" t="str">
        <f>"T680-23"</f>
        <v>T680-23</v>
      </c>
      <c r="B188" t="str">
        <f t="shared" si="24"/>
        <v>VIA DELL ACCIAIO VICINO AL 139-</v>
      </c>
      <c r="C188" t="str">
        <f t="shared" si="23"/>
        <v>3</v>
      </c>
      <c r="D188">
        <v>76</v>
      </c>
      <c r="E188" t="str">
        <f>"652"</f>
        <v>652</v>
      </c>
      <c r="F188" t="str">
        <f t="shared" si="22"/>
        <v>0000</v>
      </c>
    </row>
    <row r="189" spans="1:6">
      <c r="A189" t="str">
        <f>"T680-24"</f>
        <v>T680-24</v>
      </c>
      <c r="B189" t="str">
        <f t="shared" si="24"/>
        <v>VIA DELL ACCIAIO VICINO AL 139-</v>
      </c>
      <c r="C189" t="str">
        <f t="shared" si="23"/>
        <v>3</v>
      </c>
      <c r="D189">
        <v>76</v>
      </c>
      <c r="E189" t="str">
        <f>"653"</f>
        <v>653</v>
      </c>
      <c r="F189" t="str">
        <f t="shared" si="22"/>
        <v>0000</v>
      </c>
    </row>
    <row r="190" spans="1:6">
      <c r="A190" t="str">
        <f>"T680-25"</f>
        <v>T680-25</v>
      </c>
      <c r="B190" t="str">
        <f t="shared" si="24"/>
        <v>VIA DELL ACCIAIO VICINO AL 139-</v>
      </c>
      <c r="C190" t="str">
        <f t="shared" si="23"/>
        <v>3</v>
      </c>
      <c r="D190">
        <v>76</v>
      </c>
      <c r="E190" t="str">
        <f>"1209"</f>
        <v>1209</v>
      </c>
      <c r="F190" t="str">
        <f t="shared" si="22"/>
        <v>0000</v>
      </c>
    </row>
    <row r="191" spans="1:6">
      <c r="A191" t="str">
        <f>"T680-28"</f>
        <v>T680-28</v>
      </c>
      <c r="B191" t="str">
        <f t="shared" si="24"/>
        <v>VIA DELL ACCIAIO VICINO AL 139-</v>
      </c>
      <c r="C191" t="str">
        <f t="shared" si="23"/>
        <v>3</v>
      </c>
      <c r="D191">
        <v>76</v>
      </c>
      <c r="E191" t="str">
        <f>"1219"</f>
        <v>1219</v>
      </c>
      <c r="F191" t="str">
        <f t="shared" si="22"/>
        <v>0000</v>
      </c>
    </row>
    <row r="192" spans="1:6">
      <c r="A192" t="str">
        <f>"T680-29"</f>
        <v>T680-29</v>
      </c>
      <c r="B192" t="str">
        <f t="shared" si="24"/>
        <v>VIA DELL ACCIAIO VICINO AL 139-</v>
      </c>
      <c r="C192" t="str">
        <f t="shared" si="23"/>
        <v>3</v>
      </c>
      <c r="D192">
        <v>76</v>
      </c>
      <c r="E192" t="str">
        <f>"1220"</f>
        <v>1220</v>
      </c>
      <c r="F192" t="str">
        <f t="shared" si="22"/>
        <v>0000</v>
      </c>
    </row>
    <row r="193" spans="1:6">
      <c r="A193" t="str">
        <f>"T680-31"</f>
        <v>T680-31</v>
      </c>
      <c r="B193" t="str">
        <f t="shared" si="24"/>
        <v>VIA DELL ACCIAIO VICINO AL 139-</v>
      </c>
      <c r="C193" t="str">
        <f t="shared" si="23"/>
        <v>3</v>
      </c>
      <c r="D193">
        <v>76</v>
      </c>
      <c r="E193" t="str">
        <f>"1204"</f>
        <v>1204</v>
      </c>
      <c r="F193" t="str">
        <f t="shared" ref="F193:F224" si="25">"0000"</f>
        <v>0000</v>
      </c>
    </row>
    <row r="194" spans="1:6">
      <c r="A194" t="str">
        <f>"T680-33"</f>
        <v>T680-33</v>
      </c>
      <c r="B194" t="str">
        <f t="shared" si="24"/>
        <v>VIA DELL ACCIAIO VICINO AL 139-</v>
      </c>
      <c r="C194" t="str">
        <f t="shared" ref="C194:C225" si="26">"3"</f>
        <v>3</v>
      </c>
      <c r="D194">
        <v>76</v>
      </c>
      <c r="E194" t="str">
        <f>"1206"</f>
        <v>1206</v>
      </c>
      <c r="F194" t="str">
        <f t="shared" si="25"/>
        <v>0000</v>
      </c>
    </row>
    <row r="195" spans="1:6">
      <c r="A195" t="str">
        <f>"T680-34"</f>
        <v>T680-34</v>
      </c>
      <c r="B195" t="str">
        <f t="shared" si="24"/>
        <v>VIA DELL ACCIAIO VICINO AL 139-</v>
      </c>
      <c r="C195" t="str">
        <f t="shared" si="26"/>
        <v>3</v>
      </c>
      <c r="D195">
        <v>76</v>
      </c>
      <c r="E195" t="str">
        <f>"1208"</f>
        <v>1208</v>
      </c>
      <c r="F195" t="str">
        <f t="shared" si="25"/>
        <v>0000</v>
      </c>
    </row>
    <row r="196" spans="1:6">
      <c r="A196" t="str">
        <f>"T687-1"</f>
        <v>T687-1</v>
      </c>
      <c r="B196" t="str">
        <f>"VIA BORZOLI VICINO AL 6A-"</f>
        <v>VIA BORZOLI VICINO AL 6A-</v>
      </c>
      <c r="C196" t="str">
        <f t="shared" si="26"/>
        <v>3</v>
      </c>
      <c r="D196">
        <v>70</v>
      </c>
      <c r="E196" t="str">
        <f>"99999"</f>
        <v>99999</v>
      </c>
      <c r="F196" t="str">
        <f t="shared" si="25"/>
        <v>0000</v>
      </c>
    </row>
    <row r="197" spans="1:6">
      <c r="A197" t="str">
        <f>"T688-1"</f>
        <v>T688-1</v>
      </c>
      <c r="B197" t="str">
        <f>"VIA SANT ALBERTO VICINO AL 42A-"</f>
        <v>VIA SANT ALBERTO VICINO AL 42A-</v>
      </c>
      <c r="C197" t="str">
        <f t="shared" si="26"/>
        <v>3</v>
      </c>
      <c r="D197">
        <v>51</v>
      </c>
      <c r="E197" t="str">
        <f>"271"</f>
        <v>271</v>
      </c>
      <c r="F197" t="str">
        <f t="shared" si="25"/>
        <v>0000</v>
      </c>
    </row>
    <row r="198" spans="1:6">
      <c r="A198" t="str">
        <f>"T688-2"</f>
        <v>T688-2</v>
      </c>
      <c r="B198" t="str">
        <f>"VIA SANT ALBERTO VICINO AL 42A-"</f>
        <v>VIA SANT ALBERTO VICINO AL 42A-</v>
      </c>
      <c r="C198" t="str">
        <f t="shared" si="26"/>
        <v>3</v>
      </c>
      <c r="D198">
        <v>51</v>
      </c>
      <c r="E198" t="str">
        <f>"517"</f>
        <v>517</v>
      </c>
      <c r="F198" t="str">
        <f t="shared" si="25"/>
        <v>0000</v>
      </c>
    </row>
    <row r="199" spans="1:6">
      <c r="A199" t="str">
        <f>"T689-1"</f>
        <v>T689-1</v>
      </c>
      <c r="B199" t="str">
        <f t="shared" ref="B199:B233" si="27">"VIA NINO CERVETTO VICINO AL 8-"</f>
        <v>VIA NINO CERVETTO VICINO AL 8-</v>
      </c>
      <c r="C199" t="str">
        <f t="shared" si="26"/>
        <v>3</v>
      </c>
      <c r="D199">
        <v>77</v>
      </c>
      <c r="E199" t="str">
        <f>"855"</f>
        <v>855</v>
      </c>
      <c r="F199" t="str">
        <f t="shared" si="25"/>
        <v>0000</v>
      </c>
    </row>
    <row r="200" spans="1:6">
      <c r="A200" t="str">
        <f>"T689-2"</f>
        <v>T689-2</v>
      </c>
      <c r="B200" t="str">
        <f t="shared" si="27"/>
        <v>VIA NINO CERVETTO VICINO AL 8-</v>
      </c>
      <c r="C200" t="str">
        <f t="shared" si="26"/>
        <v>3</v>
      </c>
      <c r="D200">
        <v>77</v>
      </c>
      <c r="E200" t="str">
        <f>"856"</f>
        <v>856</v>
      </c>
      <c r="F200" t="str">
        <f t="shared" si="25"/>
        <v>0000</v>
      </c>
    </row>
    <row r="201" spans="1:6">
      <c r="A201" t="str">
        <f>"T689-3"</f>
        <v>T689-3</v>
      </c>
      <c r="B201" t="str">
        <f t="shared" si="27"/>
        <v>VIA NINO CERVETTO VICINO AL 8-</v>
      </c>
      <c r="C201" t="str">
        <f t="shared" si="26"/>
        <v>3</v>
      </c>
      <c r="D201">
        <v>77</v>
      </c>
      <c r="E201" t="str">
        <f>"857"</f>
        <v>857</v>
      </c>
      <c r="F201" t="str">
        <f t="shared" si="25"/>
        <v>0000</v>
      </c>
    </row>
    <row r="202" spans="1:6">
      <c r="A202" t="str">
        <f>"T689-4"</f>
        <v>T689-4</v>
      </c>
      <c r="B202" t="str">
        <f t="shared" si="27"/>
        <v>VIA NINO CERVETTO VICINO AL 8-</v>
      </c>
      <c r="C202" t="str">
        <f t="shared" si="26"/>
        <v>3</v>
      </c>
      <c r="D202">
        <v>77</v>
      </c>
      <c r="E202" t="str">
        <f>"858"</f>
        <v>858</v>
      </c>
      <c r="F202" t="str">
        <f t="shared" si="25"/>
        <v>0000</v>
      </c>
    </row>
    <row r="203" spans="1:6">
      <c r="A203" t="str">
        <f>"T689-5"</f>
        <v>T689-5</v>
      </c>
      <c r="B203" t="str">
        <f t="shared" si="27"/>
        <v>VIA NINO CERVETTO VICINO AL 8-</v>
      </c>
      <c r="C203" t="str">
        <f t="shared" si="26"/>
        <v>3</v>
      </c>
      <c r="D203">
        <v>77</v>
      </c>
      <c r="E203" t="str">
        <f>"859"</f>
        <v>859</v>
      </c>
      <c r="F203" t="str">
        <f t="shared" si="25"/>
        <v>0000</v>
      </c>
    </row>
    <row r="204" spans="1:6">
      <c r="A204" t="str">
        <f>"T689-6"</f>
        <v>T689-6</v>
      </c>
      <c r="B204" t="str">
        <f t="shared" si="27"/>
        <v>VIA NINO CERVETTO VICINO AL 8-</v>
      </c>
      <c r="C204" t="str">
        <f t="shared" si="26"/>
        <v>3</v>
      </c>
      <c r="D204">
        <v>77</v>
      </c>
      <c r="E204" t="str">
        <f>"862"</f>
        <v>862</v>
      </c>
      <c r="F204" t="str">
        <f t="shared" si="25"/>
        <v>0000</v>
      </c>
    </row>
    <row r="205" spans="1:6">
      <c r="A205" t="str">
        <f>"T689-7"</f>
        <v>T689-7</v>
      </c>
      <c r="B205" t="str">
        <f t="shared" si="27"/>
        <v>VIA NINO CERVETTO VICINO AL 8-</v>
      </c>
      <c r="C205" t="str">
        <f t="shared" si="26"/>
        <v>3</v>
      </c>
      <c r="D205">
        <v>77</v>
      </c>
      <c r="E205" t="str">
        <f>"863"</f>
        <v>863</v>
      </c>
      <c r="F205" t="str">
        <f t="shared" si="25"/>
        <v>0000</v>
      </c>
    </row>
    <row r="206" spans="1:6">
      <c r="A206" t="str">
        <f>"T689-8"</f>
        <v>T689-8</v>
      </c>
      <c r="B206" t="str">
        <f t="shared" si="27"/>
        <v>VIA NINO CERVETTO VICINO AL 8-</v>
      </c>
      <c r="C206" t="str">
        <f t="shared" si="26"/>
        <v>3</v>
      </c>
      <c r="D206">
        <v>77</v>
      </c>
      <c r="E206" t="str">
        <f>"86"</f>
        <v>86</v>
      </c>
      <c r="F206" t="str">
        <f t="shared" si="25"/>
        <v>0000</v>
      </c>
    </row>
    <row r="207" spans="1:6">
      <c r="A207" t="str">
        <f>"T689-9"</f>
        <v>T689-9</v>
      </c>
      <c r="B207" t="str">
        <f t="shared" si="27"/>
        <v>VIA NINO CERVETTO VICINO AL 8-</v>
      </c>
      <c r="C207" t="str">
        <f t="shared" si="26"/>
        <v>3</v>
      </c>
      <c r="D207">
        <v>77</v>
      </c>
      <c r="E207" t="str">
        <f>"87"</f>
        <v>87</v>
      </c>
      <c r="F207" t="str">
        <f t="shared" si="25"/>
        <v>0000</v>
      </c>
    </row>
    <row r="208" spans="1:6">
      <c r="A208" t="str">
        <f>"T689-10"</f>
        <v>T689-10</v>
      </c>
      <c r="B208" t="str">
        <f t="shared" si="27"/>
        <v>VIA NINO CERVETTO VICINO AL 8-</v>
      </c>
      <c r="C208" t="str">
        <f t="shared" si="26"/>
        <v>3</v>
      </c>
      <c r="D208">
        <v>77</v>
      </c>
      <c r="E208" t="str">
        <f>"88"</f>
        <v>88</v>
      </c>
      <c r="F208" t="str">
        <f t="shared" si="25"/>
        <v>0000</v>
      </c>
    </row>
    <row r="209" spans="1:6">
      <c r="A209" t="str">
        <f>"T689-11"</f>
        <v>T689-11</v>
      </c>
      <c r="B209" t="str">
        <f t="shared" si="27"/>
        <v>VIA NINO CERVETTO VICINO AL 8-</v>
      </c>
      <c r="C209" t="str">
        <f t="shared" si="26"/>
        <v>3</v>
      </c>
      <c r="D209">
        <v>77</v>
      </c>
      <c r="E209" t="str">
        <f>"864"</f>
        <v>864</v>
      </c>
      <c r="F209" t="str">
        <f t="shared" si="25"/>
        <v>0000</v>
      </c>
    </row>
    <row r="210" spans="1:6">
      <c r="A210" t="str">
        <f>"T689-12"</f>
        <v>T689-12</v>
      </c>
      <c r="B210" t="str">
        <f t="shared" si="27"/>
        <v>VIA NINO CERVETTO VICINO AL 8-</v>
      </c>
      <c r="C210" t="str">
        <f t="shared" si="26"/>
        <v>3</v>
      </c>
      <c r="D210">
        <v>77</v>
      </c>
      <c r="E210" t="str">
        <f>"90"</f>
        <v>90</v>
      </c>
      <c r="F210" t="str">
        <f t="shared" si="25"/>
        <v>0000</v>
      </c>
    </row>
    <row r="211" spans="1:6">
      <c r="A211" t="str">
        <f>"T689-13"</f>
        <v>T689-13</v>
      </c>
      <c r="B211" t="str">
        <f t="shared" si="27"/>
        <v>VIA NINO CERVETTO VICINO AL 8-</v>
      </c>
      <c r="C211" t="str">
        <f t="shared" si="26"/>
        <v>3</v>
      </c>
      <c r="D211">
        <v>77</v>
      </c>
      <c r="E211" t="str">
        <f>"834"</f>
        <v>834</v>
      </c>
      <c r="F211" t="str">
        <f t="shared" si="25"/>
        <v>0000</v>
      </c>
    </row>
    <row r="212" spans="1:6">
      <c r="A212" t="str">
        <f>"T689-14"</f>
        <v>T689-14</v>
      </c>
      <c r="B212" t="str">
        <f t="shared" si="27"/>
        <v>VIA NINO CERVETTO VICINO AL 8-</v>
      </c>
      <c r="C212" t="str">
        <f t="shared" si="26"/>
        <v>3</v>
      </c>
      <c r="D212">
        <v>77</v>
      </c>
      <c r="E212" t="str">
        <f>"92"</f>
        <v>92</v>
      </c>
      <c r="F212" t="str">
        <f t="shared" si="25"/>
        <v>0000</v>
      </c>
    </row>
    <row r="213" spans="1:6">
      <c r="A213" t="str">
        <f>"T689-15"</f>
        <v>T689-15</v>
      </c>
      <c r="B213" t="str">
        <f t="shared" si="27"/>
        <v>VIA NINO CERVETTO VICINO AL 8-</v>
      </c>
      <c r="C213" t="str">
        <f t="shared" si="26"/>
        <v>3</v>
      </c>
      <c r="D213">
        <v>77</v>
      </c>
      <c r="E213" t="str">
        <f>"93"</f>
        <v>93</v>
      </c>
      <c r="F213" t="str">
        <f t="shared" si="25"/>
        <v>0000</v>
      </c>
    </row>
    <row r="214" spans="1:6">
      <c r="A214" t="str">
        <f>"T689-16"</f>
        <v>T689-16</v>
      </c>
      <c r="B214" t="str">
        <f t="shared" si="27"/>
        <v>VIA NINO CERVETTO VICINO AL 8-</v>
      </c>
      <c r="C214" t="str">
        <f t="shared" si="26"/>
        <v>3</v>
      </c>
      <c r="D214">
        <v>77</v>
      </c>
      <c r="E214" t="str">
        <f>"94"</f>
        <v>94</v>
      </c>
      <c r="F214" t="str">
        <f t="shared" si="25"/>
        <v>0000</v>
      </c>
    </row>
    <row r="215" spans="1:6">
      <c r="A215" t="str">
        <f>"T689-17"</f>
        <v>T689-17</v>
      </c>
      <c r="B215" t="str">
        <f t="shared" si="27"/>
        <v>VIA NINO CERVETTO VICINO AL 8-</v>
      </c>
      <c r="C215" t="str">
        <f t="shared" si="26"/>
        <v>3</v>
      </c>
      <c r="D215">
        <v>77</v>
      </c>
      <c r="E215" t="str">
        <f>"835"</f>
        <v>835</v>
      </c>
      <c r="F215" t="str">
        <f t="shared" si="25"/>
        <v>0000</v>
      </c>
    </row>
    <row r="216" spans="1:6">
      <c r="A216" t="str">
        <f>"T689-18"</f>
        <v>T689-18</v>
      </c>
      <c r="B216" t="str">
        <f t="shared" si="27"/>
        <v>VIA NINO CERVETTO VICINO AL 8-</v>
      </c>
      <c r="C216" t="str">
        <f t="shared" si="26"/>
        <v>3</v>
      </c>
      <c r="D216">
        <v>77</v>
      </c>
      <c r="E216" t="str">
        <f>"104"</f>
        <v>104</v>
      </c>
      <c r="F216" t="str">
        <f t="shared" si="25"/>
        <v>0000</v>
      </c>
    </row>
    <row r="217" spans="1:6">
      <c r="A217" t="str">
        <f>"T689-19"</f>
        <v>T689-19</v>
      </c>
      <c r="B217" t="str">
        <f t="shared" si="27"/>
        <v>VIA NINO CERVETTO VICINO AL 8-</v>
      </c>
      <c r="C217" t="str">
        <f t="shared" si="26"/>
        <v>3</v>
      </c>
      <c r="D217">
        <v>77</v>
      </c>
      <c r="E217" t="str">
        <f>"105"</f>
        <v>105</v>
      </c>
      <c r="F217" t="str">
        <f t="shared" si="25"/>
        <v>0000</v>
      </c>
    </row>
    <row r="218" spans="1:6">
      <c r="A218" t="str">
        <f>"T689-20"</f>
        <v>T689-20</v>
      </c>
      <c r="B218" t="str">
        <f t="shared" si="27"/>
        <v>VIA NINO CERVETTO VICINO AL 8-</v>
      </c>
      <c r="C218" t="str">
        <f t="shared" si="26"/>
        <v>3</v>
      </c>
      <c r="D218">
        <v>77</v>
      </c>
      <c r="E218" t="str">
        <f>"106"</f>
        <v>106</v>
      </c>
      <c r="F218" t="str">
        <f t="shared" si="25"/>
        <v>0000</v>
      </c>
    </row>
    <row r="219" spans="1:6">
      <c r="A219" t="str">
        <f>"T689-21"</f>
        <v>T689-21</v>
      </c>
      <c r="B219" t="str">
        <f t="shared" si="27"/>
        <v>VIA NINO CERVETTO VICINO AL 8-</v>
      </c>
      <c r="C219" t="str">
        <f t="shared" si="26"/>
        <v>3</v>
      </c>
      <c r="D219">
        <v>77</v>
      </c>
      <c r="E219" t="str">
        <f>"836"</f>
        <v>836</v>
      </c>
      <c r="F219" t="str">
        <f t="shared" si="25"/>
        <v>0000</v>
      </c>
    </row>
    <row r="220" spans="1:6">
      <c r="A220" t="str">
        <f>"T689-22"</f>
        <v>T689-22</v>
      </c>
      <c r="B220" t="str">
        <f t="shared" si="27"/>
        <v>VIA NINO CERVETTO VICINO AL 8-</v>
      </c>
      <c r="C220" t="str">
        <f t="shared" si="26"/>
        <v>3</v>
      </c>
      <c r="D220">
        <v>77</v>
      </c>
      <c r="E220" t="str">
        <f>"839"</f>
        <v>839</v>
      </c>
      <c r="F220" t="str">
        <f t="shared" si="25"/>
        <v>0000</v>
      </c>
    </row>
    <row r="221" spans="1:6">
      <c r="A221" t="str">
        <f>"T689-23"</f>
        <v>T689-23</v>
      </c>
      <c r="B221" t="str">
        <f t="shared" si="27"/>
        <v>VIA NINO CERVETTO VICINO AL 8-</v>
      </c>
      <c r="C221" t="str">
        <f t="shared" si="26"/>
        <v>3</v>
      </c>
      <c r="D221">
        <v>77</v>
      </c>
      <c r="E221" t="str">
        <f>"830"</f>
        <v>830</v>
      </c>
      <c r="F221" t="str">
        <f t="shared" si="25"/>
        <v>0000</v>
      </c>
    </row>
    <row r="222" spans="1:6">
      <c r="A222" t="str">
        <f>"T689-24"</f>
        <v>T689-24</v>
      </c>
      <c r="B222" t="str">
        <f t="shared" si="27"/>
        <v>VIA NINO CERVETTO VICINO AL 8-</v>
      </c>
      <c r="C222" t="str">
        <f t="shared" si="26"/>
        <v>3</v>
      </c>
      <c r="D222">
        <v>77</v>
      </c>
      <c r="E222" t="str">
        <f>"845"</f>
        <v>845</v>
      </c>
      <c r="F222" t="str">
        <f t="shared" si="25"/>
        <v>0000</v>
      </c>
    </row>
    <row r="223" spans="1:6">
      <c r="A223" t="str">
        <f>"T689-25"</f>
        <v>T689-25</v>
      </c>
      <c r="B223" t="str">
        <f t="shared" si="27"/>
        <v>VIA NINO CERVETTO VICINO AL 8-</v>
      </c>
      <c r="C223" t="str">
        <f t="shared" si="26"/>
        <v>3</v>
      </c>
      <c r="D223">
        <v>77</v>
      </c>
      <c r="E223" t="str">
        <f>"846"</f>
        <v>846</v>
      </c>
      <c r="F223" t="str">
        <f t="shared" si="25"/>
        <v>0000</v>
      </c>
    </row>
    <row r="224" spans="1:6">
      <c r="A224" t="str">
        <f>"T689-27"</f>
        <v>T689-27</v>
      </c>
      <c r="B224" t="str">
        <f t="shared" si="27"/>
        <v>VIA NINO CERVETTO VICINO AL 8-</v>
      </c>
      <c r="C224" t="str">
        <f t="shared" si="26"/>
        <v>3</v>
      </c>
      <c r="D224">
        <v>77</v>
      </c>
      <c r="E224" t="str">
        <f>"267"</f>
        <v>267</v>
      </c>
      <c r="F224" t="str">
        <f t="shared" si="25"/>
        <v>0000</v>
      </c>
    </row>
    <row r="225" spans="1:6">
      <c r="A225" t="str">
        <f>"T689-28"</f>
        <v>T689-28</v>
      </c>
      <c r="B225" t="str">
        <f t="shared" si="27"/>
        <v>VIA NINO CERVETTO VICINO AL 8-</v>
      </c>
      <c r="C225" t="str">
        <f t="shared" si="26"/>
        <v>3</v>
      </c>
      <c r="D225">
        <v>77</v>
      </c>
      <c r="E225" t="str">
        <f>"268"</f>
        <v>268</v>
      </c>
      <c r="F225" t="str">
        <f t="shared" ref="F225:F256" si="28">"0000"</f>
        <v>0000</v>
      </c>
    </row>
    <row r="226" spans="1:6">
      <c r="A226" t="str">
        <f>"T689-30"</f>
        <v>T689-30</v>
      </c>
      <c r="B226" t="str">
        <f t="shared" si="27"/>
        <v>VIA NINO CERVETTO VICINO AL 8-</v>
      </c>
      <c r="C226" t="str">
        <f t="shared" ref="C226:C257" si="29">"3"</f>
        <v>3</v>
      </c>
      <c r="D226">
        <v>77</v>
      </c>
      <c r="E226" t="str">
        <f>"852"</f>
        <v>852</v>
      </c>
      <c r="F226" t="str">
        <f t="shared" si="28"/>
        <v>0000</v>
      </c>
    </row>
    <row r="227" spans="1:6">
      <c r="A227" t="str">
        <f>"T689-31"</f>
        <v>T689-31</v>
      </c>
      <c r="B227" t="str">
        <f t="shared" si="27"/>
        <v>VIA NINO CERVETTO VICINO AL 8-</v>
      </c>
      <c r="C227" t="str">
        <f t="shared" si="29"/>
        <v>3</v>
      </c>
      <c r="D227">
        <v>77</v>
      </c>
      <c r="E227" t="str">
        <f>"853"</f>
        <v>853</v>
      </c>
      <c r="F227" t="str">
        <f t="shared" si="28"/>
        <v>0000</v>
      </c>
    </row>
    <row r="228" spans="1:6">
      <c r="A228" t="str">
        <f>"T689-32"</f>
        <v>T689-32</v>
      </c>
      <c r="B228" t="str">
        <f t="shared" si="27"/>
        <v>VIA NINO CERVETTO VICINO AL 8-</v>
      </c>
      <c r="C228" t="str">
        <f t="shared" si="29"/>
        <v>3</v>
      </c>
      <c r="D228">
        <v>77</v>
      </c>
      <c r="E228" t="str">
        <f>"420"</f>
        <v>420</v>
      </c>
      <c r="F228" t="str">
        <f t="shared" si="28"/>
        <v>0000</v>
      </c>
    </row>
    <row r="229" spans="1:6">
      <c r="A229" t="str">
        <f>"T689-33"</f>
        <v>T689-33</v>
      </c>
      <c r="B229" t="str">
        <f t="shared" si="27"/>
        <v>VIA NINO CERVETTO VICINO AL 8-</v>
      </c>
      <c r="C229" t="str">
        <f t="shared" si="29"/>
        <v>3</v>
      </c>
      <c r="D229">
        <v>77</v>
      </c>
      <c r="E229" t="str">
        <f>"854"</f>
        <v>854</v>
      </c>
      <c r="F229" t="str">
        <f t="shared" si="28"/>
        <v>0000</v>
      </c>
    </row>
    <row r="230" spans="1:6">
      <c r="A230" t="str">
        <f>"T689-34"</f>
        <v>T689-34</v>
      </c>
      <c r="B230" t="str">
        <f t="shared" si="27"/>
        <v>VIA NINO CERVETTO VICINO AL 8-</v>
      </c>
      <c r="C230" t="str">
        <f t="shared" si="29"/>
        <v>3</v>
      </c>
      <c r="D230">
        <v>77</v>
      </c>
      <c r="E230" t="str">
        <f>"837"</f>
        <v>837</v>
      </c>
      <c r="F230" t="str">
        <f t="shared" si="28"/>
        <v>0000</v>
      </c>
    </row>
    <row r="231" spans="1:6">
      <c r="A231" t="str">
        <f>"T689-35"</f>
        <v>T689-35</v>
      </c>
      <c r="B231" t="str">
        <f t="shared" si="27"/>
        <v>VIA NINO CERVETTO VICINO AL 8-</v>
      </c>
      <c r="C231" t="str">
        <f t="shared" si="29"/>
        <v>3</v>
      </c>
      <c r="D231">
        <v>77</v>
      </c>
      <c r="E231" t="str">
        <f>"838"</f>
        <v>838</v>
      </c>
      <c r="F231" t="str">
        <f t="shared" si="28"/>
        <v>0000</v>
      </c>
    </row>
    <row r="232" spans="1:6">
      <c r="A232" t="str">
        <f>"T689-36"</f>
        <v>T689-36</v>
      </c>
      <c r="B232" t="str">
        <f t="shared" si="27"/>
        <v>VIA NINO CERVETTO VICINO AL 8-</v>
      </c>
      <c r="C232" t="str">
        <f t="shared" si="29"/>
        <v>3</v>
      </c>
      <c r="D232">
        <v>77</v>
      </c>
      <c r="E232" t="str">
        <f>"840"</f>
        <v>840</v>
      </c>
      <c r="F232" t="str">
        <f t="shared" si="28"/>
        <v>0000</v>
      </c>
    </row>
    <row r="233" spans="1:6">
      <c r="A233" t="str">
        <f>"T689-37"</f>
        <v>T689-37</v>
      </c>
      <c r="B233" t="str">
        <f t="shared" si="27"/>
        <v>VIA NINO CERVETTO VICINO AL 8-</v>
      </c>
      <c r="C233" t="str">
        <f t="shared" si="29"/>
        <v>3</v>
      </c>
      <c r="D233">
        <v>77</v>
      </c>
      <c r="E233" t="str">
        <f>"1355"</f>
        <v>1355</v>
      </c>
      <c r="F233" t="str">
        <f t="shared" si="28"/>
        <v>0000</v>
      </c>
    </row>
    <row r="234" spans="1:6">
      <c r="A234" t="str">
        <f>"T693-1"</f>
        <v>T693-1</v>
      </c>
      <c r="B234" t="str">
        <f>"VIA ROLLINO VICINO AL 47L-"</f>
        <v>VIA ROLLINO VICINO AL 47L-</v>
      </c>
      <c r="C234" t="str">
        <f t="shared" si="29"/>
        <v>3</v>
      </c>
      <c r="D234">
        <v>49</v>
      </c>
      <c r="E234" t="str">
        <f>"99999"</f>
        <v>99999</v>
      </c>
      <c r="F234" t="str">
        <f t="shared" si="28"/>
        <v>0000</v>
      </c>
    </row>
    <row r="235" spans="1:6">
      <c r="A235" t="str">
        <f>"T693-2"</f>
        <v>T693-2</v>
      </c>
      <c r="B235" t="str">
        <f>"VIA ROLLINO VICINO AL 47L-"</f>
        <v>VIA ROLLINO VICINO AL 47L-</v>
      </c>
      <c r="C235" t="str">
        <f t="shared" si="29"/>
        <v>3</v>
      </c>
      <c r="D235">
        <v>49</v>
      </c>
      <c r="E235" t="str">
        <f>"99999"</f>
        <v>99999</v>
      </c>
      <c r="F235" t="str">
        <f t="shared" si="28"/>
        <v>0000</v>
      </c>
    </row>
    <row r="236" spans="1:6">
      <c r="A236" t="str">
        <f>"T693-3"</f>
        <v>T693-3</v>
      </c>
      <c r="B236" t="str">
        <f>"VIA ROLLINO VICINO AL 47L-"</f>
        <v>VIA ROLLINO VICINO AL 47L-</v>
      </c>
      <c r="C236" t="str">
        <f t="shared" si="29"/>
        <v>3</v>
      </c>
      <c r="D236">
        <v>51</v>
      </c>
      <c r="E236" t="str">
        <f>"99999"</f>
        <v>99999</v>
      </c>
      <c r="F236" t="str">
        <f t="shared" si="28"/>
        <v>0000</v>
      </c>
    </row>
    <row r="237" spans="1:6">
      <c r="A237" t="str">
        <f>"T700-1"</f>
        <v>T700-1</v>
      </c>
      <c r="B237" t="str">
        <f>"VIA BORZOLI VICINO AL 3-"</f>
        <v>VIA BORZOLI VICINO AL 3-</v>
      </c>
      <c r="C237" t="str">
        <f t="shared" si="29"/>
        <v>3</v>
      </c>
      <c r="D237">
        <v>72</v>
      </c>
      <c r="E237" t="str">
        <f>"99999"</f>
        <v>99999</v>
      </c>
      <c r="F237" t="str">
        <f t="shared" si="28"/>
        <v>0000</v>
      </c>
    </row>
    <row r="238" spans="1:6">
      <c r="A238" t="str">
        <f>"T712-1"</f>
        <v>T712-1</v>
      </c>
      <c r="B238" t="str">
        <f t="shared" ref="B238:B245" si="30">"VIA BORZOLI VICINO AL 46B-"</f>
        <v>VIA BORZOLI VICINO AL 46B-</v>
      </c>
      <c r="C238" t="str">
        <f t="shared" si="29"/>
        <v>3</v>
      </c>
      <c r="D238">
        <v>74</v>
      </c>
      <c r="E238" t="str">
        <f>"1"</f>
        <v>1</v>
      </c>
      <c r="F238" t="str">
        <f t="shared" si="28"/>
        <v>0000</v>
      </c>
    </row>
    <row r="239" spans="1:6">
      <c r="A239" t="str">
        <f>"T712-2"</f>
        <v>T712-2</v>
      </c>
      <c r="B239" t="str">
        <f t="shared" si="30"/>
        <v>VIA BORZOLI VICINO AL 46B-</v>
      </c>
      <c r="C239" t="str">
        <f t="shared" si="29"/>
        <v>3</v>
      </c>
      <c r="D239">
        <v>74</v>
      </c>
      <c r="E239" t="str">
        <f>"5"</f>
        <v>5</v>
      </c>
      <c r="F239" t="str">
        <f t="shared" si="28"/>
        <v>0000</v>
      </c>
    </row>
    <row r="240" spans="1:6">
      <c r="A240" t="str">
        <f>"T712-3"</f>
        <v>T712-3</v>
      </c>
      <c r="B240" t="str">
        <f t="shared" si="30"/>
        <v>VIA BORZOLI VICINO AL 46B-</v>
      </c>
      <c r="C240" t="str">
        <f t="shared" si="29"/>
        <v>3</v>
      </c>
      <c r="D240">
        <v>74</v>
      </c>
      <c r="E240" t="str">
        <f>"7"</f>
        <v>7</v>
      </c>
      <c r="F240" t="str">
        <f t="shared" si="28"/>
        <v>0000</v>
      </c>
    </row>
    <row r="241" spans="1:6">
      <c r="A241" t="str">
        <f>"T712-4"</f>
        <v>T712-4</v>
      </c>
      <c r="B241" t="str">
        <f t="shared" si="30"/>
        <v>VIA BORZOLI VICINO AL 46B-</v>
      </c>
      <c r="C241" t="str">
        <f t="shared" si="29"/>
        <v>3</v>
      </c>
      <c r="D241">
        <v>74</v>
      </c>
      <c r="E241" t="str">
        <f>"18"</f>
        <v>18</v>
      </c>
      <c r="F241" t="str">
        <f t="shared" si="28"/>
        <v>0000</v>
      </c>
    </row>
    <row r="242" spans="1:6">
      <c r="A242" t="str">
        <f>"T712-5"</f>
        <v>T712-5</v>
      </c>
      <c r="B242" t="str">
        <f t="shared" si="30"/>
        <v>VIA BORZOLI VICINO AL 46B-</v>
      </c>
      <c r="C242" t="str">
        <f t="shared" si="29"/>
        <v>3</v>
      </c>
      <c r="D242">
        <v>74</v>
      </c>
      <c r="E242" t="str">
        <f>"21"</f>
        <v>21</v>
      </c>
      <c r="F242" t="str">
        <f t="shared" si="28"/>
        <v>0000</v>
      </c>
    </row>
    <row r="243" spans="1:6">
      <c r="A243" t="str">
        <f>"T712-6"</f>
        <v>T712-6</v>
      </c>
      <c r="B243" t="str">
        <f t="shared" si="30"/>
        <v>VIA BORZOLI VICINO AL 46B-</v>
      </c>
      <c r="C243" t="str">
        <f t="shared" si="29"/>
        <v>3</v>
      </c>
      <c r="D243">
        <v>74</v>
      </c>
      <c r="E243" t="str">
        <f>"279"</f>
        <v>279</v>
      </c>
      <c r="F243" t="str">
        <f t="shared" si="28"/>
        <v>0000</v>
      </c>
    </row>
    <row r="244" spans="1:6">
      <c r="A244" t="str">
        <f>"T712-7"</f>
        <v>T712-7</v>
      </c>
      <c r="B244" t="str">
        <f t="shared" si="30"/>
        <v>VIA BORZOLI VICINO AL 46B-</v>
      </c>
      <c r="C244" t="str">
        <f t="shared" si="29"/>
        <v>3</v>
      </c>
      <c r="D244">
        <v>74</v>
      </c>
      <c r="E244" t="str">
        <f>"99999"</f>
        <v>99999</v>
      </c>
      <c r="F244" t="str">
        <f t="shared" si="28"/>
        <v>0000</v>
      </c>
    </row>
    <row r="245" spans="1:6">
      <c r="A245" t="str">
        <f>"T712-8"</f>
        <v>T712-8</v>
      </c>
      <c r="B245" t="str">
        <f t="shared" si="30"/>
        <v>VIA BORZOLI VICINO AL 46B-</v>
      </c>
      <c r="C245" t="str">
        <f t="shared" si="29"/>
        <v>3</v>
      </c>
      <c r="D245">
        <v>74</v>
      </c>
      <c r="E245" t="str">
        <f>"99999"</f>
        <v>99999</v>
      </c>
      <c r="F245" t="str">
        <f t="shared" si="28"/>
        <v>0000</v>
      </c>
    </row>
    <row r="246" spans="1:6">
      <c r="A246" t="str">
        <f>"T725-1"</f>
        <v>T725-1</v>
      </c>
      <c r="B246" t="str">
        <f>"VIA ALLE VECCHIE FORNACI VICINO AL 4-"</f>
        <v>VIA ALLE VECCHIE FORNACI VICINO AL 4-</v>
      </c>
      <c r="C246" t="str">
        <f t="shared" si="29"/>
        <v>3</v>
      </c>
      <c r="D246">
        <v>53</v>
      </c>
      <c r="E246" t="str">
        <f>"99999"</f>
        <v>99999</v>
      </c>
      <c r="F246" t="str">
        <f t="shared" si="28"/>
        <v>0000</v>
      </c>
    </row>
    <row r="247" spans="1:6">
      <c r="A247" t="str">
        <f>"T800-1"</f>
        <v>T800-1</v>
      </c>
      <c r="B247" t="str">
        <f t="shared" ref="B247:B262" si="31">"PASSO MATTIA SPEICH VICINO AL 1-"</f>
        <v>PASSO MATTIA SPEICH VICINO AL 1-</v>
      </c>
      <c r="C247" t="str">
        <f t="shared" si="29"/>
        <v>3</v>
      </c>
      <c r="D247">
        <v>77</v>
      </c>
      <c r="E247" t="str">
        <f>"63"</f>
        <v>63</v>
      </c>
      <c r="F247" t="str">
        <f t="shared" si="28"/>
        <v>0000</v>
      </c>
    </row>
    <row r="248" spans="1:6">
      <c r="A248" t="str">
        <f>"T800-2"</f>
        <v>T800-2</v>
      </c>
      <c r="B248" t="str">
        <f t="shared" si="31"/>
        <v>PASSO MATTIA SPEICH VICINO AL 1-</v>
      </c>
      <c r="C248" t="str">
        <f t="shared" si="29"/>
        <v>3</v>
      </c>
      <c r="D248">
        <v>77</v>
      </c>
      <c r="E248" t="str">
        <f>"64"</f>
        <v>64</v>
      </c>
      <c r="F248" t="str">
        <f t="shared" si="28"/>
        <v>0000</v>
      </c>
    </row>
    <row r="249" spans="1:6">
      <c r="A249" t="str">
        <f>"T800-3"</f>
        <v>T800-3</v>
      </c>
      <c r="B249" t="str">
        <f t="shared" si="31"/>
        <v>PASSO MATTIA SPEICH VICINO AL 1-</v>
      </c>
      <c r="C249" t="str">
        <f t="shared" si="29"/>
        <v>3</v>
      </c>
      <c r="D249">
        <v>77</v>
      </c>
      <c r="E249" t="str">
        <f>"862"</f>
        <v>862</v>
      </c>
      <c r="F249" t="str">
        <f t="shared" si="28"/>
        <v>0000</v>
      </c>
    </row>
    <row r="250" spans="1:6">
      <c r="A250" t="str">
        <f>"T800-4"</f>
        <v>T800-4</v>
      </c>
      <c r="B250" t="str">
        <f t="shared" si="31"/>
        <v>PASSO MATTIA SPEICH VICINO AL 1-</v>
      </c>
      <c r="C250" t="str">
        <f t="shared" si="29"/>
        <v>3</v>
      </c>
      <c r="D250">
        <v>77</v>
      </c>
      <c r="E250" t="str">
        <f>"66"</f>
        <v>66</v>
      </c>
      <c r="F250" t="str">
        <f t="shared" si="28"/>
        <v>0000</v>
      </c>
    </row>
    <row r="251" spans="1:6">
      <c r="A251" t="str">
        <f>"T800-5"</f>
        <v>T800-5</v>
      </c>
      <c r="B251" t="str">
        <f t="shared" si="31"/>
        <v>PASSO MATTIA SPEICH VICINO AL 1-</v>
      </c>
      <c r="C251" t="str">
        <f t="shared" si="29"/>
        <v>3</v>
      </c>
      <c r="D251">
        <v>77</v>
      </c>
      <c r="E251" t="str">
        <f>"84"</f>
        <v>84</v>
      </c>
      <c r="F251" t="str">
        <f t="shared" si="28"/>
        <v>0000</v>
      </c>
    </row>
    <row r="252" spans="1:6">
      <c r="A252" t="str">
        <f>"T800-6"</f>
        <v>T800-6</v>
      </c>
      <c r="B252" t="str">
        <f t="shared" si="31"/>
        <v>PASSO MATTIA SPEICH VICINO AL 1-</v>
      </c>
      <c r="C252" t="str">
        <f t="shared" si="29"/>
        <v>3</v>
      </c>
      <c r="D252">
        <v>77</v>
      </c>
      <c r="E252" t="str">
        <f>"863"</f>
        <v>863</v>
      </c>
      <c r="F252" t="str">
        <f t="shared" si="28"/>
        <v>0000</v>
      </c>
    </row>
    <row r="253" spans="1:6">
      <c r="A253" t="str">
        <f>"T800-7"</f>
        <v>T800-7</v>
      </c>
      <c r="B253" t="str">
        <f t="shared" si="31"/>
        <v>PASSO MATTIA SPEICH VICINO AL 1-</v>
      </c>
      <c r="C253" t="str">
        <f t="shared" si="29"/>
        <v>3</v>
      </c>
      <c r="D253">
        <v>77</v>
      </c>
      <c r="E253" t="str">
        <f>"828"</f>
        <v>828</v>
      </c>
      <c r="F253" t="str">
        <f t="shared" si="28"/>
        <v>0000</v>
      </c>
    </row>
    <row r="254" spans="1:6">
      <c r="A254" t="str">
        <f>"T800-8"</f>
        <v>T800-8</v>
      </c>
      <c r="B254" t="str">
        <f t="shared" si="31"/>
        <v>PASSO MATTIA SPEICH VICINO AL 1-</v>
      </c>
      <c r="C254" t="str">
        <f t="shared" si="29"/>
        <v>3</v>
      </c>
      <c r="D254">
        <v>77</v>
      </c>
      <c r="E254" t="str">
        <f>"829"</f>
        <v>829</v>
      </c>
      <c r="F254" t="str">
        <f t="shared" si="28"/>
        <v>0000</v>
      </c>
    </row>
    <row r="255" spans="1:6">
      <c r="A255" t="str">
        <f>"T800-9"</f>
        <v>T800-9</v>
      </c>
      <c r="B255" t="str">
        <f t="shared" si="31"/>
        <v>PASSO MATTIA SPEICH VICINO AL 1-</v>
      </c>
      <c r="C255" t="str">
        <f t="shared" si="29"/>
        <v>3</v>
      </c>
      <c r="D255">
        <v>77</v>
      </c>
      <c r="E255" t="str">
        <f>"834"</f>
        <v>834</v>
      </c>
      <c r="F255" t="str">
        <f t="shared" si="28"/>
        <v>0000</v>
      </c>
    </row>
    <row r="256" spans="1:6">
      <c r="A256" t="str">
        <f>"T800-10"</f>
        <v>T800-10</v>
      </c>
      <c r="B256" t="str">
        <f t="shared" si="31"/>
        <v>PASSO MATTIA SPEICH VICINO AL 1-</v>
      </c>
      <c r="C256" t="str">
        <f t="shared" si="29"/>
        <v>3</v>
      </c>
      <c r="D256">
        <v>77</v>
      </c>
      <c r="E256" t="str">
        <f>"852"</f>
        <v>852</v>
      </c>
      <c r="F256" t="str">
        <f t="shared" si="28"/>
        <v>0000</v>
      </c>
    </row>
    <row r="257" spans="1:6">
      <c r="A257" t="str">
        <f>"T800-11"</f>
        <v>T800-11</v>
      </c>
      <c r="B257" t="str">
        <f t="shared" si="31"/>
        <v>PASSO MATTIA SPEICH VICINO AL 1-</v>
      </c>
      <c r="C257" t="str">
        <f t="shared" si="29"/>
        <v>3</v>
      </c>
      <c r="D257">
        <v>77</v>
      </c>
      <c r="E257" t="str">
        <f>"853"</f>
        <v>853</v>
      </c>
      <c r="F257" t="str">
        <f t="shared" ref="F257:F288" si="32">"0000"</f>
        <v>0000</v>
      </c>
    </row>
    <row r="258" spans="1:6">
      <c r="A258" t="str">
        <f>"T800-12"</f>
        <v>T800-12</v>
      </c>
      <c r="B258" t="str">
        <f t="shared" si="31"/>
        <v>PASSO MATTIA SPEICH VICINO AL 1-</v>
      </c>
      <c r="C258" t="str">
        <f t="shared" ref="C258:C289" si="33">"3"</f>
        <v>3</v>
      </c>
      <c r="D258">
        <v>77</v>
      </c>
      <c r="E258" t="str">
        <f>"854"</f>
        <v>854</v>
      </c>
      <c r="F258" t="str">
        <f t="shared" si="32"/>
        <v>0000</v>
      </c>
    </row>
    <row r="259" spans="1:6">
      <c r="A259" t="str">
        <f>"T800-13"</f>
        <v>T800-13</v>
      </c>
      <c r="B259" t="str">
        <f t="shared" si="31"/>
        <v>PASSO MATTIA SPEICH VICINO AL 1-</v>
      </c>
      <c r="C259" t="str">
        <f t="shared" si="33"/>
        <v>3</v>
      </c>
      <c r="D259">
        <v>77</v>
      </c>
      <c r="E259" t="str">
        <f>"830"</f>
        <v>830</v>
      </c>
      <c r="F259" t="str">
        <f t="shared" si="32"/>
        <v>0000</v>
      </c>
    </row>
    <row r="260" spans="1:6">
      <c r="A260" t="str">
        <f>"T800-14"</f>
        <v>T800-14</v>
      </c>
      <c r="B260" t="str">
        <f t="shared" si="31"/>
        <v>PASSO MATTIA SPEICH VICINO AL 1-</v>
      </c>
      <c r="C260" t="str">
        <f t="shared" si="33"/>
        <v>3</v>
      </c>
      <c r="D260">
        <v>77</v>
      </c>
      <c r="E260" t="str">
        <f>"831"</f>
        <v>831</v>
      </c>
      <c r="F260" t="str">
        <f t="shared" si="32"/>
        <v>0000</v>
      </c>
    </row>
    <row r="261" spans="1:6">
      <c r="A261" t="str">
        <f>"T800-15"</f>
        <v>T800-15</v>
      </c>
      <c r="B261" t="str">
        <f t="shared" si="31"/>
        <v>PASSO MATTIA SPEICH VICINO AL 1-</v>
      </c>
      <c r="C261" t="str">
        <f t="shared" si="33"/>
        <v>3</v>
      </c>
      <c r="D261">
        <v>77</v>
      </c>
      <c r="E261" t="str">
        <f>"832"</f>
        <v>832</v>
      </c>
      <c r="F261" t="str">
        <f t="shared" si="32"/>
        <v>0000</v>
      </c>
    </row>
    <row r="262" spans="1:6">
      <c r="A262" t="str">
        <f>"T800-16"</f>
        <v>T800-16</v>
      </c>
      <c r="B262" t="str">
        <f t="shared" si="31"/>
        <v>PASSO MATTIA SPEICH VICINO AL 1-</v>
      </c>
      <c r="C262" t="str">
        <f t="shared" si="33"/>
        <v>3</v>
      </c>
      <c r="D262">
        <v>77</v>
      </c>
      <c r="E262" t="str">
        <f>"833"</f>
        <v>833</v>
      </c>
      <c r="F262" t="str">
        <f t="shared" si="32"/>
        <v>0000</v>
      </c>
    </row>
    <row r="263" spans="1:6">
      <c r="A263" t="str">
        <f>"T801-1"</f>
        <v>T801-1</v>
      </c>
      <c r="B263" t="str">
        <f>"VIA SANT ALBERTO VICINO AL 18-"</f>
        <v>VIA SANT ALBERTO VICINO AL 18-</v>
      </c>
      <c r="C263" t="str">
        <f t="shared" si="33"/>
        <v>3</v>
      </c>
      <c r="D263">
        <v>51</v>
      </c>
      <c r="E263" t="str">
        <f>"2023"</f>
        <v>2023</v>
      </c>
      <c r="F263" t="str">
        <f t="shared" si="32"/>
        <v>0000</v>
      </c>
    </row>
    <row r="264" spans="1:6">
      <c r="A264" t="str">
        <f>"T802-1"</f>
        <v>T802-1</v>
      </c>
      <c r="B264" t="str">
        <f t="shared" ref="B264:B275" si="34">"VIA S MARIA DELLA COSTA VICINO AL 37-"</f>
        <v>VIA S MARIA DELLA COSTA VICINO AL 37-</v>
      </c>
      <c r="C264" t="str">
        <f t="shared" si="33"/>
        <v>3</v>
      </c>
      <c r="D264">
        <v>51</v>
      </c>
      <c r="E264" t="str">
        <f>"156"</f>
        <v>156</v>
      </c>
      <c r="F264" t="str">
        <f t="shared" si="32"/>
        <v>0000</v>
      </c>
    </row>
    <row r="265" spans="1:6">
      <c r="A265" t="str">
        <f>"T802-2"</f>
        <v>T802-2</v>
      </c>
      <c r="B265" t="str">
        <f t="shared" si="34"/>
        <v>VIA S MARIA DELLA COSTA VICINO AL 37-</v>
      </c>
      <c r="C265" t="str">
        <f t="shared" si="33"/>
        <v>3</v>
      </c>
      <c r="D265">
        <v>53</v>
      </c>
      <c r="E265" t="str">
        <f>"12"</f>
        <v>12</v>
      </c>
      <c r="F265" t="str">
        <f t="shared" si="32"/>
        <v>0000</v>
      </c>
    </row>
    <row r="266" spans="1:6">
      <c r="A266" t="str">
        <f>"T802-3"</f>
        <v>T802-3</v>
      </c>
      <c r="B266" t="str">
        <f t="shared" si="34"/>
        <v>VIA S MARIA DELLA COSTA VICINO AL 37-</v>
      </c>
      <c r="C266" t="str">
        <f t="shared" si="33"/>
        <v>3</v>
      </c>
      <c r="D266">
        <v>53</v>
      </c>
      <c r="E266" t="str">
        <f>"17"</f>
        <v>17</v>
      </c>
      <c r="F266" t="str">
        <f t="shared" si="32"/>
        <v>0000</v>
      </c>
    </row>
    <row r="267" spans="1:6">
      <c r="A267" t="str">
        <f>"T802-4"</f>
        <v>T802-4</v>
      </c>
      <c r="B267" t="str">
        <f t="shared" si="34"/>
        <v>VIA S MARIA DELLA COSTA VICINO AL 37-</v>
      </c>
      <c r="C267" t="str">
        <f t="shared" si="33"/>
        <v>3</v>
      </c>
      <c r="D267">
        <v>53</v>
      </c>
      <c r="E267" t="str">
        <f>"56"</f>
        <v>56</v>
      </c>
      <c r="F267" t="str">
        <f t="shared" si="32"/>
        <v>0000</v>
      </c>
    </row>
    <row r="268" spans="1:6">
      <c r="A268" t="str">
        <f>"T802-5"</f>
        <v>T802-5</v>
      </c>
      <c r="B268" t="str">
        <f t="shared" si="34"/>
        <v>VIA S MARIA DELLA COSTA VICINO AL 37-</v>
      </c>
      <c r="C268" t="str">
        <f t="shared" si="33"/>
        <v>3</v>
      </c>
      <c r="D268">
        <v>53</v>
      </c>
      <c r="E268" t="str">
        <f>"57"</f>
        <v>57</v>
      </c>
      <c r="F268" t="str">
        <f t="shared" si="32"/>
        <v>0000</v>
      </c>
    </row>
    <row r="269" spans="1:6">
      <c r="A269" t="str">
        <f>"T802-6"</f>
        <v>T802-6</v>
      </c>
      <c r="B269" t="str">
        <f t="shared" si="34"/>
        <v>VIA S MARIA DELLA COSTA VICINO AL 37-</v>
      </c>
      <c r="C269" t="str">
        <f t="shared" si="33"/>
        <v>3</v>
      </c>
      <c r="D269">
        <v>53</v>
      </c>
      <c r="E269" t="str">
        <f>"58"</f>
        <v>58</v>
      </c>
      <c r="F269" t="str">
        <f t="shared" si="32"/>
        <v>0000</v>
      </c>
    </row>
    <row r="270" spans="1:6">
      <c r="A270" t="str">
        <f>"T802-7"</f>
        <v>T802-7</v>
      </c>
      <c r="B270" t="str">
        <f t="shared" si="34"/>
        <v>VIA S MARIA DELLA COSTA VICINO AL 37-</v>
      </c>
      <c r="C270" t="str">
        <f t="shared" si="33"/>
        <v>3</v>
      </c>
      <c r="D270">
        <v>53</v>
      </c>
      <c r="E270" t="str">
        <f>"59"</f>
        <v>59</v>
      </c>
      <c r="F270" t="str">
        <f t="shared" si="32"/>
        <v>0000</v>
      </c>
    </row>
    <row r="271" spans="1:6">
      <c r="A271" t="str">
        <f>"T802-8"</f>
        <v>T802-8</v>
      </c>
      <c r="B271" t="str">
        <f t="shared" si="34"/>
        <v>VIA S MARIA DELLA COSTA VICINO AL 37-</v>
      </c>
      <c r="C271" t="str">
        <f t="shared" si="33"/>
        <v>3</v>
      </c>
      <c r="D271">
        <v>53</v>
      </c>
      <c r="E271" t="str">
        <f>"61"</f>
        <v>61</v>
      </c>
      <c r="F271" t="str">
        <f t="shared" si="32"/>
        <v>0000</v>
      </c>
    </row>
    <row r="272" spans="1:6">
      <c r="A272" t="str">
        <f>"T802-9"</f>
        <v>T802-9</v>
      </c>
      <c r="B272" t="str">
        <f t="shared" si="34"/>
        <v>VIA S MARIA DELLA COSTA VICINO AL 37-</v>
      </c>
      <c r="C272" t="str">
        <f t="shared" si="33"/>
        <v>3</v>
      </c>
      <c r="D272">
        <v>53</v>
      </c>
      <c r="E272" t="str">
        <f>"67"</f>
        <v>67</v>
      </c>
      <c r="F272" t="str">
        <f t="shared" si="32"/>
        <v>0000</v>
      </c>
    </row>
    <row r="273" spans="1:6">
      <c r="A273" t="str">
        <f>"T802-10"</f>
        <v>T802-10</v>
      </c>
      <c r="B273" t="str">
        <f t="shared" si="34"/>
        <v>VIA S MARIA DELLA COSTA VICINO AL 37-</v>
      </c>
      <c r="C273" t="str">
        <f t="shared" si="33"/>
        <v>3</v>
      </c>
      <c r="D273">
        <v>53</v>
      </c>
      <c r="E273" t="str">
        <f>"206"</f>
        <v>206</v>
      </c>
      <c r="F273" t="str">
        <f t="shared" si="32"/>
        <v>0000</v>
      </c>
    </row>
    <row r="274" spans="1:6">
      <c r="A274" t="str">
        <f>"T802-11"</f>
        <v>T802-11</v>
      </c>
      <c r="B274" t="str">
        <f t="shared" si="34"/>
        <v>VIA S MARIA DELLA COSTA VICINO AL 37-</v>
      </c>
      <c r="C274" t="str">
        <f t="shared" si="33"/>
        <v>3</v>
      </c>
      <c r="D274">
        <v>53</v>
      </c>
      <c r="E274" t="str">
        <f>"143"</f>
        <v>143</v>
      </c>
      <c r="F274" t="str">
        <f t="shared" si="32"/>
        <v>0000</v>
      </c>
    </row>
    <row r="275" spans="1:6">
      <c r="A275" t="str">
        <f>"T802-12"</f>
        <v>T802-12</v>
      </c>
      <c r="B275" t="str">
        <f t="shared" si="34"/>
        <v>VIA S MARIA DELLA COSTA VICINO AL 37-</v>
      </c>
      <c r="C275" t="str">
        <f t="shared" si="33"/>
        <v>3</v>
      </c>
      <c r="D275">
        <v>53</v>
      </c>
      <c r="E275" t="str">
        <f>"99999"</f>
        <v>99999</v>
      </c>
      <c r="F275" t="str">
        <f t="shared" si="32"/>
        <v>0000</v>
      </c>
    </row>
    <row r="276" spans="1:6">
      <c r="A276" t="str">
        <f>"T803-1"</f>
        <v>T803-1</v>
      </c>
      <c r="B276" t="str">
        <f t="shared" ref="B276:B282" si="35">"VIA SAN GIOVANNI BATTISTA VICINO AL 5-"</f>
        <v>VIA SAN GIOVANNI BATTISTA VICINO AL 5-</v>
      </c>
      <c r="C276" t="str">
        <f t="shared" si="33"/>
        <v>3</v>
      </c>
      <c r="D276">
        <v>53</v>
      </c>
      <c r="E276" t="str">
        <f>"170"</f>
        <v>170</v>
      </c>
      <c r="F276" t="str">
        <f t="shared" si="32"/>
        <v>0000</v>
      </c>
    </row>
    <row r="277" spans="1:6">
      <c r="A277" t="str">
        <f>"T803-2"</f>
        <v>T803-2</v>
      </c>
      <c r="B277" t="str">
        <f t="shared" si="35"/>
        <v>VIA SAN GIOVANNI BATTISTA VICINO AL 5-</v>
      </c>
      <c r="C277" t="str">
        <f t="shared" si="33"/>
        <v>3</v>
      </c>
      <c r="D277">
        <v>53</v>
      </c>
      <c r="E277" t="str">
        <f>"305"</f>
        <v>305</v>
      </c>
      <c r="F277" t="str">
        <f t="shared" si="32"/>
        <v>0000</v>
      </c>
    </row>
    <row r="278" spans="1:6">
      <c r="A278" t="str">
        <f>"T803-3"</f>
        <v>T803-3</v>
      </c>
      <c r="B278" t="str">
        <f t="shared" si="35"/>
        <v>VIA SAN GIOVANNI BATTISTA VICINO AL 5-</v>
      </c>
      <c r="C278" t="str">
        <f t="shared" si="33"/>
        <v>3</v>
      </c>
      <c r="D278">
        <v>53</v>
      </c>
      <c r="E278" t="str">
        <f>"307"</f>
        <v>307</v>
      </c>
      <c r="F278" t="str">
        <f t="shared" si="32"/>
        <v>0000</v>
      </c>
    </row>
    <row r="279" spans="1:6">
      <c r="A279" t="str">
        <f>"T803-5"</f>
        <v>T803-5</v>
      </c>
      <c r="B279" t="str">
        <f t="shared" si="35"/>
        <v>VIA SAN GIOVANNI BATTISTA VICINO AL 5-</v>
      </c>
      <c r="C279" t="str">
        <f t="shared" si="33"/>
        <v>3</v>
      </c>
      <c r="D279">
        <v>53</v>
      </c>
      <c r="E279" t="str">
        <f>"206"</f>
        <v>206</v>
      </c>
      <c r="F279" t="str">
        <f t="shared" si="32"/>
        <v>0000</v>
      </c>
    </row>
    <row r="280" spans="1:6">
      <c r="A280" t="str">
        <f>"T803-6"</f>
        <v>T803-6</v>
      </c>
      <c r="B280" t="str">
        <f t="shared" si="35"/>
        <v>VIA SAN GIOVANNI BATTISTA VICINO AL 5-</v>
      </c>
      <c r="C280" t="str">
        <f t="shared" si="33"/>
        <v>3</v>
      </c>
      <c r="D280">
        <v>55</v>
      </c>
      <c r="E280" t="str">
        <f>"489"</f>
        <v>489</v>
      </c>
      <c r="F280" t="str">
        <f t="shared" si="32"/>
        <v>0000</v>
      </c>
    </row>
    <row r="281" spans="1:6">
      <c r="A281" t="str">
        <f>"T803-7"</f>
        <v>T803-7</v>
      </c>
      <c r="B281" t="str">
        <f t="shared" si="35"/>
        <v>VIA SAN GIOVANNI BATTISTA VICINO AL 5-</v>
      </c>
      <c r="C281" t="str">
        <f t="shared" si="33"/>
        <v>3</v>
      </c>
      <c r="D281">
        <v>55</v>
      </c>
      <c r="E281" t="str">
        <f>"43"</f>
        <v>43</v>
      </c>
      <c r="F281" t="str">
        <f t="shared" si="32"/>
        <v>0000</v>
      </c>
    </row>
    <row r="282" spans="1:6">
      <c r="A282" t="str">
        <f>"T803-8"</f>
        <v>T803-8</v>
      </c>
      <c r="B282" t="str">
        <f t="shared" si="35"/>
        <v>VIA SAN GIOVANNI BATTISTA VICINO AL 5-</v>
      </c>
      <c r="C282" t="str">
        <f t="shared" si="33"/>
        <v>3</v>
      </c>
      <c r="D282">
        <v>53</v>
      </c>
      <c r="E282" t="str">
        <f>"708"</f>
        <v>708</v>
      </c>
      <c r="F282" t="str">
        <f t="shared" si="32"/>
        <v>0000</v>
      </c>
    </row>
    <row r="283" spans="1:6">
      <c r="A283" t="str">
        <f>"T804-1"</f>
        <v>T804-1</v>
      </c>
      <c r="B283" t="str">
        <f>"PIAZZA VITT CONSIGLIERE VICINO AL 1-"</f>
        <v>PIAZZA VITT CONSIGLIERE VICINO AL 1-</v>
      </c>
      <c r="C283" t="str">
        <f t="shared" si="33"/>
        <v>3</v>
      </c>
      <c r="D283">
        <v>53</v>
      </c>
      <c r="E283" t="str">
        <f>"17"</f>
        <v>17</v>
      </c>
      <c r="F283" t="str">
        <f t="shared" si="32"/>
        <v>0000</v>
      </c>
    </row>
    <row r="284" spans="1:6">
      <c r="A284" t="str">
        <f>"T805-1"</f>
        <v>T805-1</v>
      </c>
      <c r="B284" t="str">
        <f>"P.LE GIUSEPPE MURATORE VICINO AL 3-"</f>
        <v>P.LE GIUSEPPE MURATORE VICINO AL 3-</v>
      </c>
      <c r="C284" t="str">
        <f t="shared" si="33"/>
        <v>3</v>
      </c>
      <c r="D284">
        <v>65</v>
      </c>
      <c r="E284" t="str">
        <f>"393"</f>
        <v>393</v>
      </c>
      <c r="F284" t="str">
        <f t="shared" si="32"/>
        <v>0000</v>
      </c>
    </row>
    <row r="285" spans="1:6">
      <c r="A285" t="str">
        <f>"T806-1"</f>
        <v>T806-1</v>
      </c>
      <c r="B285" t="str">
        <f>"VIA BORZOLI VICINO AL 45-"</f>
        <v>VIA BORZOLI VICINO AL 45-</v>
      </c>
      <c r="C285" t="str">
        <f t="shared" si="33"/>
        <v>3</v>
      </c>
      <c r="D285">
        <v>65</v>
      </c>
      <c r="E285" t="str">
        <f>"338"</f>
        <v>338</v>
      </c>
      <c r="F285" t="str">
        <f t="shared" si="32"/>
        <v>0000</v>
      </c>
    </row>
    <row r="286" spans="1:6">
      <c r="A286" t="str">
        <f>"T806-2"</f>
        <v>T806-2</v>
      </c>
      <c r="B286" t="str">
        <f>"VIA BORZOLI VICINO AL 45-"</f>
        <v>VIA BORZOLI VICINO AL 45-</v>
      </c>
      <c r="C286" t="str">
        <f t="shared" si="33"/>
        <v>3</v>
      </c>
      <c r="D286">
        <v>65</v>
      </c>
      <c r="E286" t="str">
        <f>"339"</f>
        <v>339</v>
      </c>
      <c r="F286" t="str">
        <f t="shared" si="32"/>
        <v>0000</v>
      </c>
    </row>
    <row r="287" spans="1:6">
      <c r="A287" t="str">
        <f>"T806-3"</f>
        <v>T806-3</v>
      </c>
      <c r="B287" t="str">
        <f>"VIA BORZOLI VICINO AL 45-"</f>
        <v>VIA BORZOLI VICINO AL 45-</v>
      </c>
      <c r="C287" t="str">
        <f t="shared" si="33"/>
        <v>3</v>
      </c>
      <c r="D287">
        <v>65</v>
      </c>
      <c r="E287" t="str">
        <f>"340"</f>
        <v>340</v>
      </c>
      <c r="F287" t="str">
        <f t="shared" si="32"/>
        <v>0000</v>
      </c>
    </row>
    <row r="288" spans="1:6">
      <c r="A288" t="str">
        <f>"T806-4"</f>
        <v>T806-4</v>
      </c>
      <c r="B288" t="str">
        <f>"VIA BORZOLI VICINO AL 45-"</f>
        <v>VIA BORZOLI VICINO AL 45-</v>
      </c>
      <c r="C288" t="str">
        <f t="shared" si="33"/>
        <v>3</v>
      </c>
      <c r="D288">
        <v>65</v>
      </c>
      <c r="E288" t="str">
        <f>"303"</f>
        <v>303</v>
      </c>
      <c r="F288" t="str">
        <f t="shared" si="32"/>
        <v>0000</v>
      </c>
    </row>
    <row r="289" spans="1:6">
      <c r="A289" t="str">
        <f>"T807-1"</f>
        <v>T807-1</v>
      </c>
      <c r="B289" t="str">
        <f>"PIAZZA BERNARDO POCH VICINO AL 4-"</f>
        <v>PIAZZA BERNARDO POCH VICINO AL 4-</v>
      </c>
      <c r="C289" t="str">
        <f t="shared" si="33"/>
        <v>3</v>
      </c>
      <c r="D289">
        <v>55</v>
      </c>
      <c r="E289" t="str">
        <f>"169"</f>
        <v>169</v>
      </c>
      <c r="F289" t="str">
        <f t="shared" ref="F289:F309" si="36">"0000"</f>
        <v>0000</v>
      </c>
    </row>
    <row r="290" spans="1:6">
      <c r="A290" t="str">
        <f>"T809-1"</f>
        <v>T809-1</v>
      </c>
      <c r="B290" t="str">
        <f>"VIA MISERICORDIA BORZOLI VICINO AL 1-"</f>
        <v>VIA MISERICORDIA BORZOLI VICINO AL 1-</v>
      </c>
      <c r="C290" t="str">
        <f t="shared" ref="C290:C326" si="37">"3"</f>
        <v>3</v>
      </c>
      <c r="D290">
        <v>65</v>
      </c>
      <c r="E290" t="str">
        <f>"251"</f>
        <v>251</v>
      </c>
      <c r="F290" t="str">
        <f t="shared" si="36"/>
        <v>0000</v>
      </c>
    </row>
    <row r="291" spans="1:6">
      <c r="A291" t="str">
        <f>"T818-1"</f>
        <v>T818-1</v>
      </c>
      <c r="B291" t="str">
        <f>"CORSO FERDINANDO PERRONE VICINO AL 3-"</f>
        <v>CORSO FERDINANDO PERRONE VICINO AL 3-</v>
      </c>
      <c r="C291" t="str">
        <f t="shared" si="37"/>
        <v>3</v>
      </c>
      <c r="D291">
        <v>78</v>
      </c>
      <c r="E291" t="str">
        <f>"99999"</f>
        <v>99999</v>
      </c>
      <c r="F291" t="str">
        <f t="shared" si="36"/>
        <v>0000</v>
      </c>
    </row>
    <row r="292" spans="1:6">
      <c r="A292" t="str">
        <f>"T822-1"</f>
        <v>T822-1</v>
      </c>
      <c r="B292" t="str">
        <f t="shared" ref="B292:B297" si="38">"VIA ALLE VECCHIE FORNACI VICINO AL 7-"</f>
        <v>VIA ALLE VECCHIE FORNACI VICINO AL 7-</v>
      </c>
      <c r="C292" t="str">
        <f t="shared" si="37"/>
        <v>3</v>
      </c>
      <c r="D292">
        <v>52</v>
      </c>
      <c r="E292" t="str">
        <f>"250"</f>
        <v>250</v>
      </c>
      <c r="F292" t="str">
        <f t="shared" si="36"/>
        <v>0000</v>
      </c>
    </row>
    <row r="293" spans="1:6">
      <c r="A293" t="str">
        <f>"T822-2"</f>
        <v>T822-2</v>
      </c>
      <c r="B293" t="str">
        <f t="shared" si="38"/>
        <v>VIA ALLE VECCHIE FORNACI VICINO AL 7-</v>
      </c>
      <c r="C293" t="str">
        <f t="shared" si="37"/>
        <v>3</v>
      </c>
      <c r="D293">
        <v>52</v>
      </c>
      <c r="E293" t="str">
        <f>"251"</f>
        <v>251</v>
      </c>
      <c r="F293" t="str">
        <f t="shared" si="36"/>
        <v>0000</v>
      </c>
    </row>
    <row r="294" spans="1:6">
      <c r="A294" t="str">
        <f>"T822-3"</f>
        <v>T822-3</v>
      </c>
      <c r="B294" t="str">
        <f t="shared" si="38"/>
        <v>VIA ALLE VECCHIE FORNACI VICINO AL 7-</v>
      </c>
      <c r="C294" t="str">
        <f t="shared" si="37"/>
        <v>3</v>
      </c>
      <c r="D294">
        <v>52</v>
      </c>
      <c r="E294" t="str">
        <f>"252"</f>
        <v>252</v>
      </c>
      <c r="F294" t="str">
        <f t="shared" si="36"/>
        <v>0000</v>
      </c>
    </row>
    <row r="295" spans="1:6">
      <c r="A295" t="str">
        <f>"T822-4"</f>
        <v>T822-4</v>
      </c>
      <c r="B295" t="str">
        <f t="shared" si="38"/>
        <v>VIA ALLE VECCHIE FORNACI VICINO AL 7-</v>
      </c>
      <c r="C295" t="str">
        <f t="shared" si="37"/>
        <v>3</v>
      </c>
      <c r="D295">
        <v>52</v>
      </c>
      <c r="E295" t="str">
        <f>"802"</f>
        <v>802</v>
      </c>
      <c r="F295" t="str">
        <f t="shared" si="36"/>
        <v>0000</v>
      </c>
    </row>
    <row r="296" spans="1:6">
      <c r="A296" t="str">
        <f>"T822-5"</f>
        <v>T822-5</v>
      </c>
      <c r="B296" t="str">
        <f t="shared" si="38"/>
        <v>VIA ALLE VECCHIE FORNACI VICINO AL 7-</v>
      </c>
      <c r="C296" t="str">
        <f t="shared" si="37"/>
        <v>3</v>
      </c>
      <c r="D296">
        <v>52</v>
      </c>
      <c r="E296" t="str">
        <f>"225"</f>
        <v>225</v>
      </c>
      <c r="F296" t="str">
        <f t="shared" si="36"/>
        <v>0000</v>
      </c>
    </row>
    <row r="297" spans="1:6">
      <c r="A297" t="str">
        <f>"T823-1"</f>
        <v>T823-1</v>
      </c>
      <c r="B297" t="str">
        <f t="shared" si="38"/>
        <v>VIA ALLE VECCHIE FORNACI VICINO AL 7-</v>
      </c>
      <c r="C297" t="str">
        <f t="shared" si="37"/>
        <v>3</v>
      </c>
      <c r="D297">
        <v>52</v>
      </c>
      <c r="E297" t="str">
        <f>"225"</f>
        <v>225</v>
      </c>
      <c r="F297" t="str">
        <f t="shared" si="36"/>
        <v>0000</v>
      </c>
    </row>
    <row r="298" spans="1:6">
      <c r="A298" t="str">
        <f>"T828-1"</f>
        <v>T828-1</v>
      </c>
      <c r="B298" t="str">
        <f>"VIA DELL ACCIAIO VICINO AL 80-"</f>
        <v>VIA DELL ACCIAIO VICINO AL 80-</v>
      </c>
      <c r="C298" t="str">
        <f t="shared" si="37"/>
        <v>3</v>
      </c>
      <c r="D298">
        <v>76</v>
      </c>
      <c r="E298" t="str">
        <f>"444"</f>
        <v>444</v>
      </c>
      <c r="F298" t="str">
        <f t="shared" si="36"/>
        <v>0000</v>
      </c>
    </row>
    <row r="299" spans="1:6">
      <c r="A299" t="str">
        <f>"T828-2"</f>
        <v>T828-2</v>
      </c>
      <c r="B299" t="str">
        <f>"VIA DELL ACCIAIO VICINO AL 80-"</f>
        <v>VIA DELL ACCIAIO VICINO AL 80-</v>
      </c>
      <c r="C299" t="str">
        <f t="shared" si="37"/>
        <v>3</v>
      </c>
      <c r="D299">
        <v>76</v>
      </c>
      <c r="E299" t="str">
        <f>"445"</f>
        <v>445</v>
      </c>
      <c r="F299" t="str">
        <f t="shared" si="36"/>
        <v>0000</v>
      </c>
    </row>
    <row r="300" spans="1:6">
      <c r="A300" t="str">
        <f>"T828-3"</f>
        <v>T828-3</v>
      </c>
      <c r="B300" t="str">
        <f>"VIA DELL ACCIAIO VICINO AL 80-"</f>
        <v>VIA DELL ACCIAIO VICINO AL 80-</v>
      </c>
      <c r="C300" t="str">
        <f t="shared" si="37"/>
        <v>3</v>
      </c>
      <c r="D300">
        <v>76</v>
      </c>
      <c r="E300" t="str">
        <f>"446"</f>
        <v>446</v>
      </c>
      <c r="F300" t="str">
        <f t="shared" si="36"/>
        <v>0000</v>
      </c>
    </row>
    <row r="301" spans="1:6">
      <c r="A301" t="str">
        <f>"T828-4"</f>
        <v>T828-4</v>
      </c>
      <c r="B301" t="str">
        <f>"VIA DELL ACCIAIO VICINO AL 80-"</f>
        <v>VIA DELL ACCIAIO VICINO AL 80-</v>
      </c>
      <c r="C301" t="str">
        <f t="shared" si="37"/>
        <v>3</v>
      </c>
      <c r="D301">
        <v>76</v>
      </c>
      <c r="E301" t="str">
        <f>"648"</f>
        <v>648</v>
      </c>
      <c r="F301" t="str">
        <f t="shared" si="36"/>
        <v>0000</v>
      </c>
    </row>
    <row r="302" spans="1:6">
      <c r="A302" t="str">
        <f>"T828-5"</f>
        <v>T828-5</v>
      </c>
      <c r="B302" t="str">
        <f>"VIA DELL ACCIAIO VICINO AL 80-"</f>
        <v>VIA DELL ACCIAIO VICINO AL 80-</v>
      </c>
      <c r="C302" t="str">
        <f t="shared" si="37"/>
        <v>3</v>
      </c>
      <c r="D302">
        <v>76</v>
      </c>
      <c r="E302" t="str">
        <f>"650"</f>
        <v>650</v>
      </c>
      <c r="F302" t="str">
        <f t="shared" si="36"/>
        <v>0000</v>
      </c>
    </row>
    <row r="303" spans="1:6">
      <c r="A303" t="str">
        <f>"T833-1"</f>
        <v>T833-1</v>
      </c>
      <c r="B303" t="str">
        <f>"VIA BORZOLI VICINO AL 65-"</f>
        <v>VIA BORZOLI VICINO AL 65-</v>
      </c>
      <c r="C303" t="str">
        <f t="shared" si="37"/>
        <v>3</v>
      </c>
      <c r="D303">
        <v>66</v>
      </c>
      <c r="E303" t="str">
        <f>"275"</f>
        <v>275</v>
      </c>
      <c r="F303" t="str">
        <f t="shared" si="36"/>
        <v>0000</v>
      </c>
    </row>
    <row r="304" spans="1:6">
      <c r="A304" t="str">
        <f>"T1092-1"</f>
        <v>T1092-1</v>
      </c>
      <c r="B304" t="str">
        <f>"VIA BORZOLI VICINO AL 46-"</f>
        <v>VIA BORZOLI VICINO AL 46-</v>
      </c>
      <c r="C304" t="str">
        <f t="shared" si="37"/>
        <v>3</v>
      </c>
      <c r="D304">
        <v>74</v>
      </c>
      <c r="E304" t="str">
        <f>"922"</f>
        <v>922</v>
      </c>
      <c r="F304" t="str">
        <f t="shared" si="36"/>
        <v>0000</v>
      </c>
    </row>
    <row r="305" spans="1:6">
      <c r="A305" t="str">
        <f>"T1092-2"</f>
        <v>T1092-2</v>
      </c>
      <c r="B305" t="str">
        <f>"VIA BORZOLI VICINO AL 46-"</f>
        <v>VIA BORZOLI VICINO AL 46-</v>
      </c>
      <c r="C305" t="str">
        <f t="shared" si="37"/>
        <v>3</v>
      </c>
      <c r="D305">
        <v>74</v>
      </c>
      <c r="E305" t="str">
        <f>"925"</f>
        <v>925</v>
      </c>
      <c r="F305" t="str">
        <f t="shared" si="36"/>
        <v>0000</v>
      </c>
    </row>
    <row r="306" spans="1:6">
      <c r="A306" t="str">
        <f>"T1092-3"</f>
        <v>T1092-3</v>
      </c>
      <c r="B306" t="str">
        <f>"VIA BORZOLI VICINO AL 46-"</f>
        <v>VIA BORZOLI VICINO AL 46-</v>
      </c>
      <c r="C306" t="str">
        <f t="shared" si="37"/>
        <v>3</v>
      </c>
      <c r="D306">
        <v>74</v>
      </c>
      <c r="E306" t="str">
        <f>"928"</f>
        <v>928</v>
      </c>
      <c r="F306" t="str">
        <f t="shared" si="36"/>
        <v>0000</v>
      </c>
    </row>
    <row r="307" spans="1:6">
      <c r="A307" t="str">
        <f>"T1092-4"</f>
        <v>T1092-4</v>
      </c>
      <c r="B307" t="str">
        <f>"VIA BORZOLI VICINO AL 46-"</f>
        <v>VIA BORZOLI VICINO AL 46-</v>
      </c>
      <c r="C307" t="str">
        <f t="shared" si="37"/>
        <v>3</v>
      </c>
      <c r="D307">
        <v>74</v>
      </c>
      <c r="E307" t="str">
        <f>"927"</f>
        <v>927</v>
      </c>
      <c r="F307" t="str">
        <f t="shared" si="36"/>
        <v>0000</v>
      </c>
    </row>
    <row r="308" spans="1:6">
      <c r="A308" t="str">
        <f>"T1108-1"</f>
        <v>T1108-1</v>
      </c>
      <c r="B308" t="str">
        <f t="shared" ref="B308:B317" si="39">"VIA ROLLINO VICINO AL 90-"</f>
        <v>VIA ROLLINO VICINO AL 90-</v>
      </c>
      <c r="C308" t="str">
        <f t="shared" si="37"/>
        <v>3</v>
      </c>
      <c r="D308">
        <v>49</v>
      </c>
      <c r="E308" t="str">
        <f>"25"</f>
        <v>25</v>
      </c>
      <c r="F308" t="str">
        <f t="shared" si="36"/>
        <v>0000</v>
      </c>
    </row>
    <row r="309" spans="1:6">
      <c r="A309" t="str">
        <f>"T1108-8"</f>
        <v>T1108-8</v>
      </c>
      <c r="B309" t="str">
        <f t="shared" si="39"/>
        <v>VIA ROLLINO VICINO AL 90-</v>
      </c>
      <c r="C309" t="str">
        <f t="shared" si="37"/>
        <v>3</v>
      </c>
      <c r="D309">
        <v>49</v>
      </c>
      <c r="E309" t="str">
        <f>"782"</f>
        <v>782</v>
      </c>
      <c r="F309" t="str">
        <f t="shared" si="36"/>
        <v>0000</v>
      </c>
    </row>
    <row r="310" spans="1:6">
      <c r="A310" t="str">
        <f>"T1108-9"</f>
        <v>T1108-9</v>
      </c>
      <c r="B310" t="str">
        <f t="shared" si="39"/>
        <v>VIA ROLLINO VICINO AL 90-</v>
      </c>
      <c r="C310" t="str">
        <f t="shared" si="37"/>
        <v>3</v>
      </c>
      <c r="D310">
        <v>3</v>
      </c>
      <c r="E310" t="str">
        <f>"786"</f>
        <v>786</v>
      </c>
      <c r="F310" t="str">
        <f>"000"</f>
        <v>000</v>
      </c>
    </row>
    <row r="311" spans="1:6">
      <c r="A311" t="str">
        <f>"T1108-10"</f>
        <v>T1108-10</v>
      </c>
      <c r="B311" t="str">
        <f t="shared" si="39"/>
        <v>VIA ROLLINO VICINO AL 90-</v>
      </c>
      <c r="C311" t="str">
        <f t="shared" si="37"/>
        <v>3</v>
      </c>
      <c r="D311">
        <v>49</v>
      </c>
      <c r="E311" t="str">
        <f>"788"</f>
        <v>788</v>
      </c>
      <c r="F311" t="str">
        <f t="shared" ref="F311:F320" si="40">"0000"</f>
        <v>0000</v>
      </c>
    </row>
    <row r="312" spans="1:6">
      <c r="A312" t="str">
        <f>"T1108-11"</f>
        <v>T1108-11</v>
      </c>
      <c r="B312" t="str">
        <f t="shared" si="39"/>
        <v>VIA ROLLINO VICINO AL 90-</v>
      </c>
      <c r="C312" t="str">
        <f t="shared" si="37"/>
        <v>3</v>
      </c>
      <c r="D312">
        <v>49</v>
      </c>
      <c r="E312" t="str">
        <f>"798"</f>
        <v>798</v>
      </c>
      <c r="F312" t="str">
        <f t="shared" si="40"/>
        <v>0000</v>
      </c>
    </row>
    <row r="313" spans="1:6">
      <c r="A313" t="str">
        <f>"T1108-12"</f>
        <v>T1108-12</v>
      </c>
      <c r="B313" t="str">
        <f t="shared" si="39"/>
        <v>VIA ROLLINO VICINO AL 90-</v>
      </c>
      <c r="C313" t="str">
        <f t="shared" si="37"/>
        <v>3</v>
      </c>
      <c r="D313">
        <v>49</v>
      </c>
      <c r="E313" t="str">
        <f>"794"</f>
        <v>794</v>
      </c>
      <c r="F313" t="str">
        <f t="shared" si="40"/>
        <v>0000</v>
      </c>
    </row>
    <row r="314" spans="1:6">
      <c r="A314" t="str">
        <f>"T1108-13"</f>
        <v>T1108-13</v>
      </c>
      <c r="B314" t="str">
        <f t="shared" si="39"/>
        <v>VIA ROLLINO VICINO AL 90-</v>
      </c>
      <c r="C314" t="str">
        <f t="shared" si="37"/>
        <v>3</v>
      </c>
      <c r="D314">
        <v>49</v>
      </c>
      <c r="E314" t="str">
        <f>"776"</f>
        <v>776</v>
      </c>
      <c r="F314" t="str">
        <f t="shared" si="40"/>
        <v>0000</v>
      </c>
    </row>
    <row r="315" spans="1:6">
      <c r="A315" t="str">
        <f>"T1108-14"</f>
        <v>T1108-14</v>
      </c>
      <c r="B315" t="str">
        <f t="shared" si="39"/>
        <v>VIA ROLLINO VICINO AL 90-</v>
      </c>
      <c r="C315" t="str">
        <f t="shared" si="37"/>
        <v>3</v>
      </c>
      <c r="D315">
        <v>49</v>
      </c>
      <c r="E315" t="str">
        <f>"777"</f>
        <v>777</v>
      </c>
      <c r="F315" t="str">
        <f t="shared" si="40"/>
        <v>0000</v>
      </c>
    </row>
    <row r="316" spans="1:6">
      <c r="A316" t="str">
        <f>"T1108-15"</f>
        <v>T1108-15</v>
      </c>
      <c r="B316" t="str">
        <f t="shared" si="39"/>
        <v>VIA ROLLINO VICINO AL 90-</v>
      </c>
      <c r="C316" t="str">
        <f t="shared" si="37"/>
        <v>3</v>
      </c>
      <c r="D316">
        <v>49</v>
      </c>
      <c r="E316" t="str">
        <f>"778"</f>
        <v>778</v>
      </c>
      <c r="F316" t="str">
        <f t="shared" si="40"/>
        <v>0000</v>
      </c>
    </row>
    <row r="317" spans="1:6">
      <c r="A317" t="str">
        <f>"T1108-16"</f>
        <v>T1108-16</v>
      </c>
      <c r="B317" t="str">
        <f t="shared" si="39"/>
        <v>VIA ROLLINO VICINO AL 90-</v>
      </c>
      <c r="C317" t="str">
        <f t="shared" si="37"/>
        <v>3</v>
      </c>
      <c r="D317">
        <v>49</v>
      </c>
      <c r="E317" t="str">
        <f>"779"</f>
        <v>779</v>
      </c>
      <c r="F317" t="str">
        <f t="shared" si="40"/>
        <v>0000</v>
      </c>
    </row>
    <row r="318" spans="1:6">
      <c r="A318" t="str">
        <f>"T1113-3"</f>
        <v>T1113-3</v>
      </c>
      <c r="B318" t="str">
        <f t="shared" ref="B318:B323" si="41">"VIA MONTE GUANO VICINO AL 8-"</f>
        <v>VIA MONTE GUANO VICINO AL 8-</v>
      </c>
      <c r="C318" t="str">
        <f t="shared" si="37"/>
        <v>3</v>
      </c>
      <c r="D318">
        <v>76</v>
      </c>
      <c r="E318" t="str">
        <f>"1200"</f>
        <v>1200</v>
      </c>
      <c r="F318" t="str">
        <f t="shared" si="40"/>
        <v>0000</v>
      </c>
    </row>
    <row r="319" spans="1:6">
      <c r="A319" t="str">
        <f>"T1113-4"</f>
        <v>T1113-4</v>
      </c>
      <c r="B319" t="str">
        <f t="shared" si="41"/>
        <v>VIA MONTE GUANO VICINO AL 8-</v>
      </c>
      <c r="C319" t="str">
        <f t="shared" si="37"/>
        <v>3</v>
      </c>
      <c r="D319">
        <v>76</v>
      </c>
      <c r="E319" t="str">
        <f>"1201"</f>
        <v>1201</v>
      </c>
      <c r="F319" t="str">
        <f t="shared" si="40"/>
        <v>0000</v>
      </c>
    </row>
    <row r="320" spans="1:6">
      <c r="A320" t="str">
        <f>"T1113-6"</f>
        <v>T1113-6</v>
      </c>
      <c r="B320" t="str">
        <f t="shared" si="41"/>
        <v>VIA MONTE GUANO VICINO AL 8-</v>
      </c>
      <c r="C320" t="str">
        <f t="shared" si="37"/>
        <v>3</v>
      </c>
      <c r="D320">
        <v>76</v>
      </c>
      <c r="E320" t="str">
        <f>"481"</f>
        <v>481</v>
      </c>
      <c r="F320" t="str">
        <f t="shared" si="40"/>
        <v>0000</v>
      </c>
    </row>
    <row r="321" spans="1:6">
      <c r="A321" t="str">
        <f>"T1113-7"</f>
        <v>T1113-7</v>
      </c>
      <c r="B321" t="str">
        <f t="shared" si="41"/>
        <v>VIA MONTE GUANO VICINO AL 8-</v>
      </c>
      <c r="C321" t="str">
        <f t="shared" si="37"/>
        <v>3</v>
      </c>
      <c r="D321">
        <v>76</v>
      </c>
      <c r="E321" t="str">
        <f>"1174"</f>
        <v>1174</v>
      </c>
      <c r="F321" t="str">
        <f>"000"</f>
        <v>000</v>
      </c>
    </row>
    <row r="322" spans="1:6">
      <c r="A322" t="str">
        <f>"T1113-8"</f>
        <v>T1113-8</v>
      </c>
      <c r="B322" t="str">
        <f t="shared" si="41"/>
        <v>VIA MONTE GUANO VICINO AL 8-</v>
      </c>
      <c r="C322" t="str">
        <f t="shared" si="37"/>
        <v>3</v>
      </c>
      <c r="D322">
        <v>76</v>
      </c>
      <c r="E322" t="str">
        <f>"1212"</f>
        <v>1212</v>
      </c>
      <c r="F322" t="str">
        <f>"0000"</f>
        <v>0000</v>
      </c>
    </row>
    <row r="323" spans="1:6">
      <c r="A323" t="str">
        <f>"T1113-14"</f>
        <v>T1113-14</v>
      </c>
      <c r="B323" t="str">
        <f t="shared" si="41"/>
        <v>VIA MONTE GUANO VICINO AL 8-</v>
      </c>
      <c r="C323" t="str">
        <f t="shared" si="37"/>
        <v>3</v>
      </c>
      <c r="D323">
        <v>76</v>
      </c>
      <c r="E323" t="str">
        <f>"1217"</f>
        <v>1217</v>
      </c>
      <c r="F323" t="str">
        <f>"0000"</f>
        <v>0000</v>
      </c>
    </row>
    <row r="324" spans="1:6">
      <c r="A324" t="str">
        <f>"T1137-1"</f>
        <v>T1137-1</v>
      </c>
      <c r="B324" t="str">
        <f>"VIA MILITARE DI BORZOLI VICINO AL 32-"</f>
        <v>VIA MILITARE DI BORZOLI VICINO AL 32-</v>
      </c>
      <c r="C324" t="str">
        <f t="shared" si="37"/>
        <v>3</v>
      </c>
      <c r="D324">
        <v>65</v>
      </c>
      <c r="E324" t="str">
        <f>"18"</f>
        <v>18</v>
      </c>
      <c r="F324" t="str">
        <f>"0000"</f>
        <v>0000</v>
      </c>
    </row>
    <row r="325" spans="1:6">
      <c r="A325" t="str">
        <f>"T1137-2"</f>
        <v>T1137-2</v>
      </c>
      <c r="B325" t="str">
        <f>"VIA MILITARE DI BORZOLI VICINO AL 32-"</f>
        <v>VIA MILITARE DI BORZOLI VICINO AL 32-</v>
      </c>
      <c r="C325" t="str">
        <f t="shared" si="37"/>
        <v>3</v>
      </c>
      <c r="D325">
        <v>65</v>
      </c>
      <c r="E325" t="str">
        <f>"19"</f>
        <v>19</v>
      </c>
      <c r="F325" t="str">
        <f>"0000"</f>
        <v>0000</v>
      </c>
    </row>
    <row r="326" spans="1:6">
      <c r="A326" t="str">
        <f>"T1137-3"</f>
        <v>T1137-3</v>
      </c>
      <c r="B326" t="str">
        <f>"VIA MILITARE DI BORZOLI VICINO AL 32-"</f>
        <v>VIA MILITARE DI BORZOLI VICINO AL 32-</v>
      </c>
      <c r="C326" t="str">
        <f t="shared" si="37"/>
        <v>3</v>
      </c>
      <c r="D326">
        <v>62</v>
      </c>
      <c r="E326" t="str">
        <f>"52"</f>
        <v>52</v>
      </c>
      <c r="F326" t="str">
        <f>"0000"</f>
        <v>0000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017"/>
  <sheetViews>
    <sheetView workbookViewId="0">
      <selection sqref="A1:F1"/>
    </sheetView>
  </sheetViews>
  <sheetFormatPr defaultRowHeight="12.75"/>
  <cols>
    <col min="1" max="1" width="19.5703125" bestFit="1" customWidth="1"/>
    <col min="2" max="2" width="41.42578125" bestFit="1" customWidth="1"/>
    <col min="5" max="5" width="10" bestFit="1" customWidth="1"/>
  </cols>
  <sheetData>
    <row r="1" spans="1:6">
      <c r="A1" s="1" t="str">
        <f>"codice identificativo"</f>
        <v>codice identificativo</v>
      </c>
      <c r="B1" s="1" t="str">
        <f>"Indirizzo/Località"</f>
        <v>Indirizzo/Località</v>
      </c>
      <c r="C1" s="1" t="str">
        <f>"SEZIONE"</f>
        <v>SEZIONE</v>
      </c>
      <c r="D1" s="1" t="str">
        <f>"FOGLIO"</f>
        <v>FOGLIO</v>
      </c>
      <c r="E1" s="1" t="str">
        <f>"MAPPALE"</f>
        <v>MAPPALE</v>
      </c>
      <c r="F1" s="1" t="str">
        <f>"SUB"</f>
        <v>SUB</v>
      </c>
    </row>
    <row r="2" spans="1:6">
      <c r="A2" t="str">
        <f>"T244-1"</f>
        <v>T244-1</v>
      </c>
      <c r="B2" t="str">
        <f>"VIALE GIORGIO MODUGNO VICINO AL 18-"</f>
        <v>VIALE GIORGIO MODUGNO VICINO AL 18-</v>
      </c>
      <c r="C2" t="str">
        <f>"3"</f>
        <v>3</v>
      </c>
      <c r="D2">
        <v>44</v>
      </c>
      <c r="E2" t="str">
        <f>"7"</f>
        <v>7</v>
      </c>
      <c r="F2" t="str">
        <f t="shared" ref="F2:F65" si="0">"0000"</f>
        <v>0000</v>
      </c>
    </row>
    <row r="3" spans="1:6">
      <c r="A3" t="str">
        <f>"T402-1"</f>
        <v>T402-1</v>
      </c>
      <c r="B3" t="str">
        <f>"VIA GASPARE BUFFA  2-"</f>
        <v>VIA GASPARE BUFFA  2-</v>
      </c>
      <c r="C3" t="str">
        <f t="shared" ref="C3:C13" si="1">"2"</f>
        <v>2</v>
      </c>
      <c r="D3">
        <v>30</v>
      </c>
      <c r="E3" t="str">
        <f>"323"</f>
        <v>323</v>
      </c>
      <c r="F3" t="str">
        <f t="shared" si="0"/>
        <v>0000</v>
      </c>
    </row>
    <row r="4" spans="1:6">
      <c r="A4" t="str">
        <f>"T402-2"</f>
        <v>T402-2</v>
      </c>
      <c r="B4" t="str">
        <f>"VIA GASPARE BUFFA  2-"</f>
        <v>VIA GASPARE BUFFA  2-</v>
      </c>
      <c r="C4" t="str">
        <f t="shared" si="1"/>
        <v>2</v>
      </c>
      <c r="D4">
        <v>30</v>
      </c>
      <c r="E4" t="str">
        <f>"390"</f>
        <v>390</v>
      </c>
      <c r="F4" t="str">
        <f t="shared" si="0"/>
        <v>0000</v>
      </c>
    </row>
    <row r="5" spans="1:6">
      <c r="A5" t="str">
        <f>"T402-3"</f>
        <v>T402-3</v>
      </c>
      <c r="B5" t="str">
        <f>"VIA GASPARE BUFFA  2-"</f>
        <v>VIA GASPARE BUFFA  2-</v>
      </c>
      <c r="C5" t="str">
        <f t="shared" si="1"/>
        <v>2</v>
      </c>
      <c r="D5">
        <v>30</v>
      </c>
      <c r="E5" t="str">
        <f>"416"</f>
        <v>416</v>
      </c>
      <c r="F5" t="str">
        <f t="shared" si="0"/>
        <v>0000</v>
      </c>
    </row>
    <row r="6" spans="1:6">
      <c r="A6" t="str">
        <f>"T404-2"</f>
        <v>T404-2</v>
      </c>
      <c r="B6" t="str">
        <f>"SALITA EGEO VICINO AL 16-"</f>
        <v>SALITA EGEO VICINO AL 16-</v>
      </c>
      <c r="C6" t="str">
        <f t="shared" si="1"/>
        <v>2</v>
      </c>
      <c r="D6">
        <v>31</v>
      </c>
      <c r="E6" t="str">
        <f>"84"</f>
        <v>84</v>
      </c>
      <c r="F6" t="str">
        <f t="shared" si="0"/>
        <v>0000</v>
      </c>
    </row>
    <row r="7" spans="1:6">
      <c r="A7" t="str">
        <f>"T404-3"</f>
        <v>T404-3</v>
      </c>
      <c r="B7" t="str">
        <f>"SALITA EGEO VICINO AL 16-"</f>
        <v>SALITA EGEO VICINO AL 16-</v>
      </c>
      <c r="C7" t="str">
        <f t="shared" si="1"/>
        <v>2</v>
      </c>
      <c r="D7">
        <v>31</v>
      </c>
      <c r="E7" t="str">
        <f>"862"</f>
        <v>862</v>
      </c>
      <c r="F7" t="str">
        <f t="shared" si="0"/>
        <v>0000</v>
      </c>
    </row>
    <row r="8" spans="1:6">
      <c r="A8" t="str">
        <f>"T405-1"</f>
        <v>T405-1</v>
      </c>
      <c r="B8" t="str">
        <f>"VIA TITO TOSONOTTI VICINO AL 16-"</f>
        <v>VIA TITO TOSONOTTI VICINO AL 16-</v>
      </c>
      <c r="C8" t="str">
        <f t="shared" si="1"/>
        <v>2</v>
      </c>
      <c r="D8">
        <v>31</v>
      </c>
      <c r="E8" t="str">
        <f>"76"</f>
        <v>76</v>
      </c>
      <c r="F8" t="str">
        <f t="shared" si="0"/>
        <v>0000</v>
      </c>
    </row>
    <row r="9" spans="1:6">
      <c r="A9" t="str">
        <f>"T406-1"</f>
        <v>T406-1</v>
      </c>
      <c r="B9" t="str">
        <f>"VIA PISSAPAOLA VICINO AL 48-"</f>
        <v>VIA PISSAPAOLA VICINO AL 48-</v>
      </c>
      <c r="C9" t="str">
        <f t="shared" si="1"/>
        <v>2</v>
      </c>
      <c r="D9">
        <v>37</v>
      </c>
      <c r="E9" t="str">
        <f>"935"</f>
        <v>935</v>
      </c>
      <c r="F9" t="str">
        <f t="shared" si="0"/>
        <v>0000</v>
      </c>
    </row>
    <row r="10" spans="1:6">
      <c r="A10" t="str">
        <f>"T409-4"</f>
        <v>T409-4</v>
      </c>
      <c r="B10" t="str">
        <f>"VIA DELLE FABBRICHE VICINO AL 4BR-"</f>
        <v>VIA DELLE FABBRICHE VICINO AL 4BR-</v>
      </c>
      <c r="C10" t="str">
        <f t="shared" si="1"/>
        <v>2</v>
      </c>
      <c r="D10">
        <v>29</v>
      </c>
      <c r="E10" t="str">
        <f>"607"</f>
        <v>607</v>
      </c>
      <c r="F10" t="str">
        <f t="shared" si="0"/>
        <v>0000</v>
      </c>
    </row>
    <row r="11" spans="1:6">
      <c r="A11" t="str">
        <f>"T409-5"</f>
        <v>T409-5</v>
      </c>
      <c r="B11" t="str">
        <f>"VIA DELLE FABBRICHE VICINO AL 4BR-"</f>
        <v>VIA DELLE FABBRICHE VICINO AL 4BR-</v>
      </c>
      <c r="C11" t="str">
        <f t="shared" si="1"/>
        <v>2</v>
      </c>
      <c r="D11">
        <v>29</v>
      </c>
      <c r="E11" t="str">
        <f>"235"</f>
        <v>235</v>
      </c>
      <c r="F11" t="str">
        <f t="shared" si="0"/>
        <v>0000</v>
      </c>
    </row>
    <row r="12" spans="1:6">
      <c r="A12" t="str">
        <f>"T409-6"</f>
        <v>T409-6</v>
      </c>
      <c r="B12" t="str">
        <f>"VIA DELLE FABBRICHE VICINO AL 4BR-"</f>
        <v>VIA DELLE FABBRICHE VICINO AL 4BR-</v>
      </c>
      <c r="C12" t="str">
        <f t="shared" si="1"/>
        <v>2</v>
      </c>
      <c r="D12">
        <v>29</v>
      </c>
      <c r="E12" t="str">
        <f>"225"</f>
        <v>225</v>
      </c>
      <c r="F12" t="str">
        <f t="shared" si="0"/>
        <v>0000</v>
      </c>
    </row>
    <row r="13" spans="1:6">
      <c r="A13" t="str">
        <f>"T409-7"</f>
        <v>T409-7</v>
      </c>
      <c r="B13" t="str">
        <f>"VIA DELLE FABBRICHE VICINO AL 4BR-"</f>
        <v>VIA DELLE FABBRICHE VICINO AL 4BR-</v>
      </c>
      <c r="C13" t="str">
        <f t="shared" si="1"/>
        <v>2</v>
      </c>
      <c r="D13">
        <v>29</v>
      </c>
      <c r="E13" t="str">
        <f>"605"</f>
        <v>605</v>
      </c>
      <c r="F13" t="str">
        <f t="shared" si="0"/>
        <v>0000</v>
      </c>
    </row>
    <row r="14" spans="1:6">
      <c r="A14" t="str">
        <f>"T410-1"</f>
        <v>T410-1</v>
      </c>
      <c r="B14" t="str">
        <f>"VIA DELLE FABBRICHE  183R-"</f>
        <v>VIA DELLE FABBRICHE  183R-</v>
      </c>
      <c r="C14" t="str">
        <f>"VOL"</f>
        <v>VOL</v>
      </c>
      <c r="D14">
        <v>19</v>
      </c>
      <c r="E14" t="str">
        <f>"438"</f>
        <v>438</v>
      </c>
      <c r="F14" t="str">
        <f t="shared" si="0"/>
        <v>0000</v>
      </c>
    </row>
    <row r="15" spans="1:6">
      <c r="A15" t="str">
        <f>"T410-2"</f>
        <v>T410-2</v>
      </c>
      <c r="B15" t="str">
        <f>"VIA DELLE FABBRICHE  183R-"</f>
        <v>VIA DELLE FABBRICHE  183R-</v>
      </c>
      <c r="C15" t="str">
        <f t="shared" ref="C15:C46" si="2">"2"</f>
        <v>2</v>
      </c>
      <c r="D15">
        <v>19</v>
      </c>
      <c r="E15" t="str">
        <f>"296"</f>
        <v>296</v>
      </c>
      <c r="F15" t="str">
        <f t="shared" si="0"/>
        <v>0000</v>
      </c>
    </row>
    <row r="16" spans="1:6">
      <c r="A16" t="str">
        <f>"T411-1"</f>
        <v>T411-1</v>
      </c>
      <c r="B16" t="str">
        <f>"VIA GIACOMO CANEPA VICINO AL 1-"</f>
        <v>VIA GIACOMO CANEPA VICINO AL 1-</v>
      </c>
      <c r="C16" t="str">
        <f t="shared" si="2"/>
        <v>2</v>
      </c>
      <c r="D16">
        <v>37</v>
      </c>
      <c r="E16" t="str">
        <f>"490"</f>
        <v>490</v>
      </c>
      <c r="F16" t="str">
        <f t="shared" si="0"/>
        <v>0000</v>
      </c>
    </row>
    <row r="17" spans="1:6">
      <c r="A17" t="str">
        <f>"T412-1"</f>
        <v>T412-1</v>
      </c>
      <c r="B17" t="str">
        <f t="shared" ref="B17:B46" si="3">"VICO NICOLO DA CORTE VICINO AL 6-"</f>
        <v>VICO NICOLO DA CORTE VICINO AL 6-</v>
      </c>
      <c r="C17" t="str">
        <f t="shared" si="2"/>
        <v>2</v>
      </c>
      <c r="D17">
        <v>29</v>
      </c>
      <c r="E17" t="str">
        <f>"160"</f>
        <v>160</v>
      </c>
      <c r="F17" t="str">
        <f t="shared" si="0"/>
        <v>0000</v>
      </c>
    </row>
    <row r="18" spans="1:6">
      <c r="A18" t="str">
        <f>"T412-2"</f>
        <v>T412-2</v>
      </c>
      <c r="B18" t="str">
        <f t="shared" si="3"/>
        <v>VICO NICOLO DA CORTE VICINO AL 6-</v>
      </c>
      <c r="C18" t="str">
        <f t="shared" si="2"/>
        <v>2</v>
      </c>
      <c r="D18">
        <v>30</v>
      </c>
      <c r="E18" t="str">
        <f>"171"</f>
        <v>171</v>
      </c>
      <c r="F18" t="str">
        <f t="shared" si="0"/>
        <v>0000</v>
      </c>
    </row>
    <row r="19" spans="1:6">
      <c r="A19" t="str">
        <f>"T412-3"</f>
        <v>T412-3</v>
      </c>
      <c r="B19" t="str">
        <f t="shared" si="3"/>
        <v>VICO NICOLO DA CORTE VICINO AL 6-</v>
      </c>
      <c r="C19" t="str">
        <f t="shared" si="2"/>
        <v>2</v>
      </c>
      <c r="D19">
        <v>30</v>
      </c>
      <c r="E19" t="str">
        <f>"172"</f>
        <v>172</v>
      </c>
      <c r="F19" t="str">
        <f t="shared" si="0"/>
        <v>0000</v>
      </c>
    </row>
    <row r="20" spans="1:6">
      <c r="A20" t="str">
        <f>"T412-4"</f>
        <v>T412-4</v>
      </c>
      <c r="B20" t="str">
        <f t="shared" si="3"/>
        <v>VICO NICOLO DA CORTE VICINO AL 6-</v>
      </c>
      <c r="C20" t="str">
        <f t="shared" si="2"/>
        <v>2</v>
      </c>
      <c r="D20">
        <v>30</v>
      </c>
      <c r="E20" t="str">
        <f>"177"</f>
        <v>177</v>
      </c>
      <c r="F20" t="str">
        <f t="shared" si="0"/>
        <v>0000</v>
      </c>
    </row>
    <row r="21" spans="1:6">
      <c r="A21" t="str">
        <f>"T412-5"</f>
        <v>T412-5</v>
      </c>
      <c r="B21" t="str">
        <f t="shared" si="3"/>
        <v>VICO NICOLO DA CORTE VICINO AL 6-</v>
      </c>
      <c r="C21" t="str">
        <f t="shared" si="2"/>
        <v>2</v>
      </c>
      <c r="D21">
        <v>30</v>
      </c>
      <c r="E21" t="str">
        <f>"178"</f>
        <v>178</v>
      </c>
      <c r="F21" t="str">
        <f t="shared" si="0"/>
        <v>0000</v>
      </c>
    </row>
    <row r="22" spans="1:6">
      <c r="A22" t="str">
        <f>"T412-6"</f>
        <v>T412-6</v>
      </c>
      <c r="B22" t="str">
        <f t="shared" si="3"/>
        <v>VICO NICOLO DA CORTE VICINO AL 6-</v>
      </c>
      <c r="C22" t="str">
        <f t="shared" si="2"/>
        <v>2</v>
      </c>
      <c r="D22">
        <v>30</v>
      </c>
      <c r="E22" t="str">
        <f>"179"</f>
        <v>179</v>
      </c>
      <c r="F22" t="str">
        <f t="shared" si="0"/>
        <v>0000</v>
      </c>
    </row>
    <row r="23" spans="1:6">
      <c r="A23" t="str">
        <f>"T412-7"</f>
        <v>T412-7</v>
      </c>
      <c r="B23" t="str">
        <f t="shared" si="3"/>
        <v>VICO NICOLO DA CORTE VICINO AL 6-</v>
      </c>
      <c r="C23" t="str">
        <f t="shared" si="2"/>
        <v>2</v>
      </c>
      <c r="D23">
        <v>30</v>
      </c>
      <c r="E23" t="str">
        <f>"180"</f>
        <v>180</v>
      </c>
      <c r="F23" t="str">
        <f t="shared" si="0"/>
        <v>0000</v>
      </c>
    </row>
    <row r="24" spans="1:6">
      <c r="A24" t="str">
        <f>"T412-8"</f>
        <v>T412-8</v>
      </c>
      <c r="B24" t="str">
        <f t="shared" si="3"/>
        <v>VICO NICOLO DA CORTE VICINO AL 6-</v>
      </c>
      <c r="C24" t="str">
        <f t="shared" si="2"/>
        <v>2</v>
      </c>
      <c r="D24">
        <v>30</v>
      </c>
      <c r="E24" t="str">
        <f>"181"</f>
        <v>181</v>
      </c>
      <c r="F24" t="str">
        <f t="shared" si="0"/>
        <v>0000</v>
      </c>
    </row>
    <row r="25" spans="1:6">
      <c r="A25" t="str">
        <f>"T412-9"</f>
        <v>T412-9</v>
      </c>
      <c r="B25" t="str">
        <f t="shared" si="3"/>
        <v>VICO NICOLO DA CORTE VICINO AL 6-</v>
      </c>
      <c r="C25" t="str">
        <f t="shared" si="2"/>
        <v>2</v>
      </c>
      <c r="D25">
        <v>30</v>
      </c>
      <c r="E25" t="str">
        <f>"182"</f>
        <v>182</v>
      </c>
      <c r="F25" t="str">
        <f t="shared" si="0"/>
        <v>0000</v>
      </c>
    </row>
    <row r="26" spans="1:6">
      <c r="A26" t="str">
        <f>"T412-10"</f>
        <v>T412-10</v>
      </c>
      <c r="B26" t="str">
        <f t="shared" si="3"/>
        <v>VICO NICOLO DA CORTE VICINO AL 6-</v>
      </c>
      <c r="C26" t="str">
        <f t="shared" si="2"/>
        <v>2</v>
      </c>
      <c r="D26">
        <v>30</v>
      </c>
      <c r="E26" t="str">
        <f>"183"</f>
        <v>183</v>
      </c>
      <c r="F26" t="str">
        <f t="shared" si="0"/>
        <v>0000</v>
      </c>
    </row>
    <row r="27" spans="1:6">
      <c r="A27" t="str">
        <f>"T412-11"</f>
        <v>T412-11</v>
      </c>
      <c r="B27" t="str">
        <f t="shared" si="3"/>
        <v>VICO NICOLO DA CORTE VICINO AL 6-</v>
      </c>
      <c r="C27" t="str">
        <f t="shared" si="2"/>
        <v>2</v>
      </c>
      <c r="D27">
        <v>30</v>
      </c>
      <c r="E27" t="str">
        <f>"184"</f>
        <v>184</v>
      </c>
      <c r="F27" t="str">
        <f t="shared" si="0"/>
        <v>0000</v>
      </c>
    </row>
    <row r="28" spans="1:6">
      <c r="A28" t="str">
        <f>"T412-12"</f>
        <v>T412-12</v>
      </c>
      <c r="B28" t="str">
        <f t="shared" si="3"/>
        <v>VICO NICOLO DA CORTE VICINO AL 6-</v>
      </c>
      <c r="C28" t="str">
        <f t="shared" si="2"/>
        <v>2</v>
      </c>
      <c r="D28">
        <v>30</v>
      </c>
      <c r="E28" t="str">
        <f>"185"</f>
        <v>185</v>
      </c>
      <c r="F28" t="str">
        <f t="shared" si="0"/>
        <v>0000</v>
      </c>
    </row>
    <row r="29" spans="1:6">
      <c r="A29" t="str">
        <f>"T412-13"</f>
        <v>T412-13</v>
      </c>
      <c r="B29" t="str">
        <f t="shared" si="3"/>
        <v>VICO NICOLO DA CORTE VICINO AL 6-</v>
      </c>
      <c r="C29" t="str">
        <f t="shared" si="2"/>
        <v>2</v>
      </c>
      <c r="D29">
        <v>30</v>
      </c>
      <c r="E29" t="str">
        <f>"186"</f>
        <v>186</v>
      </c>
      <c r="F29" t="str">
        <f t="shared" si="0"/>
        <v>0000</v>
      </c>
    </row>
    <row r="30" spans="1:6">
      <c r="A30" t="str">
        <f>"T412-14"</f>
        <v>T412-14</v>
      </c>
      <c r="B30" t="str">
        <f t="shared" si="3"/>
        <v>VICO NICOLO DA CORTE VICINO AL 6-</v>
      </c>
      <c r="C30" t="str">
        <f t="shared" si="2"/>
        <v>2</v>
      </c>
      <c r="D30">
        <v>30</v>
      </c>
      <c r="E30" t="str">
        <f>"188"</f>
        <v>188</v>
      </c>
      <c r="F30" t="str">
        <f t="shared" si="0"/>
        <v>0000</v>
      </c>
    </row>
    <row r="31" spans="1:6">
      <c r="A31" t="str">
        <f>"T412-15"</f>
        <v>T412-15</v>
      </c>
      <c r="B31" t="str">
        <f t="shared" si="3"/>
        <v>VICO NICOLO DA CORTE VICINO AL 6-</v>
      </c>
      <c r="C31" t="str">
        <f t="shared" si="2"/>
        <v>2</v>
      </c>
      <c r="D31">
        <v>30</v>
      </c>
      <c r="E31" t="str">
        <f>"189"</f>
        <v>189</v>
      </c>
      <c r="F31" t="str">
        <f t="shared" si="0"/>
        <v>0000</v>
      </c>
    </row>
    <row r="32" spans="1:6">
      <c r="A32" t="str">
        <f>"T412-16"</f>
        <v>T412-16</v>
      </c>
      <c r="B32" t="str">
        <f t="shared" si="3"/>
        <v>VICO NICOLO DA CORTE VICINO AL 6-</v>
      </c>
      <c r="C32" t="str">
        <f t="shared" si="2"/>
        <v>2</v>
      </c>
      <c r="D32">
        <v>30</v>
      </c>
      <c r="E32" t="str">
        <f>"190"</f>
        <v>190</v>
      </c>
      <c r="F32" t="str">
        <f t="shared" si="0"/>
        <v>0000</v>
      </c>
    </row>
    <row r="33" spans="1:6">
      <c r="A33" t="str">
        <f>"T412-17"</f>
        <v>T412-17</v>
      </c>
      <c r="B33" t="str">
        <f t="shared" si="3"/>
        <v>VICO NICOLO DA CORTE VICINO AL 6-</v>
      </c>
      <c r="C33" t="str">
        <f t="shared" si="2"/>
        <v>2</v>
      </c>
      <c r="D33">
        <v>30</v>
      </c>
      <c r="E33" t="str">
        <f>"292"</f>
        <v>292</v>
      </c>
      <c r="F33" t="str">
        <f t="shared" si="0"/>
        <v>0000</v>
      </c>
    </row>
    <row r="34" spans="1:6">
      <c r="A34" t="str">
        <f>"T412-18"</f>
        <v>T412-18</v>
      </c>
      <c r="B34" t="str">
        <f t="shared" si="3"/>
        <v>VICO NICOLO DA CORTE VICINO AL 6-</v>
      </c>
      <c r="C34" t="str">
        <f t="shared" si="2"/>
        <v>2</v>
      </c>
      <c r="D34">
        <v>30</v>
      </c>
      <c r="E34" t="str">
        <f>"293"</f>
        <v>293</v>
      </c>
      <c r="F34" t="str">
        <f t="shared" si="0"/>
        <v>0000</v>
      </c>
    </row>
    <row r="35" spans="1:6">
      <c r="A35" t="str">
        <f>"T412-19"</f>
        <v>T412-19</v>
      </c>
      <c r="B35" t="str">
        <f t="shared" si="3"/>
        <v>VICO NICOLO DA CORTE VICINO AL 6-</v>
      </c>
      <c r="C35" t="str">
        <f t="shared" si="2"/>
        <v>2</v>
      </c>
      <c r="D35">
        <v>30</v>
      </c>
      <c r="E35" t="str">
        <f>"294"</f>
        <v>294</v>
      </c>
      <c r="F35" t="str">
        <f t="shared" si="0"/>
        <v>0000</v>
      </c>
    </row>
    <row r="36" spans="1:6">
      <c r="A36" t="str">
        <f>"T412-20"</f>
        <v>T412-20</v>
      </c>
      <c r="B36" t="str">
        <f t="shared" si="3"/>
        <v>VICO NICOLO DA CORTE VICINO AL 6-</v>
      </c>
      <c r="C36" t="str">
        <f t="shared" si="2"/>
        <v>2</v>
      </c>
      <c r="D36">
        <v>30</v>
      </c>
      <c r="E36" t="str">
        <f>"387"</f>
        <v>387</v>
      </c>
      <c r="F36" t="str">
        <f t="shared" si="0"/>
        <v>0000</v>
      </c>
    </row>
    <row r="37" spans="1:6">
      <c r="A37" t="str">
        <f>"T412-21"</f>
        <v>T412-21</v>
      </c>
      <c r="B37" t="str">
        <f t="shared" si="3"/>
        <v>VICO NICOLO DA CORTE VICINO AL 6-</v>
      </c>
      <c r="C37" t="str">
        <f t="shared" si="2"/>
        <v>2</v>
      </c>
      <c r="D37">
        <v>30</v>
      </c>
      <c r="E37" t="str">
        <f>"427"</f>
        <v>427</v>
      </c>
      <c r="F37" t="str">
        <f t="shared" si="0"/>
        <v>0000</v>
      </c>
    </row>
    <row r="38" spans="1:6">
      <c r="A38" t="str">
        <f>"T412-22"</f>
        <v>T412-22</v>
      </c>
      <c r="B38" t="str">
        <f t="shared" si="3"/>
        <v>VICO NICOLO DA CORTE VICINO AL 6-</v>
      </c>
      <c r="C38" t="str">
        <f t="shared" si="2"/>
        <v>2</v>
      </c>
      <c r="D38">
        <v>30</v>
      </c>
      <c r="E38" t="str">
        <f>"428"</f>
        <v>428</v>
      </c>
      <c r="F38" t="str">
        <f t="shared" si="0"/>
        <v>0000</v>
      </c>
    </row>
    <row r="39" spans="1:6">
      <c r="A39" t="str">
        <f>"T412-23"</f>
        <v>T412-23</v>
      </c>
      <c r="B39" t="str">
        <f t="shared" si="3"/>
        <v>VICO NICOLO DA CORTE VICINO AL 6-</v>
      </c>
      <c r="C39" t="str">
        <f t="shared" si="2"/>
        <v>2</v>
      </c>
      <c r="D39">
        <v>30</v>
      </c>
      <c r="E39" t="str">
        <f>"429"</f>
        <v>429</v>
      </c>
      <c r="F39" t="str">
        <f t="shared" si="0"/>
        <v>0000</v>
      </c>
    </row>
    <row r="40" spans="1:6">
      <c r="A40" t="str">
        <f>"T412-24"</f>
        <v>T412-24</v>
      </c>
      <c r="B40" t="str">
        <f t="shared" si="3"/>
        <v>VICO NICOLO DA CORTE VICINO AL 6-</v>
      </c>
      <c r="C40" t="str">
        <f t="shared" si="2"/>
        <v>2</v>
      </c>
      <c r="D40">
        <v>30</v>
      </c>
      <c r="E40" t="str">
        <f>"431"</f>
        <v>431</v>
      </c>
      <c r="F40" t="str">
        <f t="shared" si="0"/>
        <v>0000</v>
      </c>
    </row>
    <row r="41" spans="1:6">
      <c r="A41" t="str">
        <f>"T412-25"</f>
        <v>T412-25</v>
      </c>
      <c r="B41" t="str">
        <f t="shared" si="3"/>
        <v>VICO NICOLO DA CORTE VICINO AL 6-</v>
      </c>
      <c r="C41" t="str">
        <f t="shared" si="2"/>
        <v>2</v>
      </c>
      <c r="D41">
        <v>30</v>
      </c>
      <c r="E41" t="str">
        <f>"439"</f>
        <v>439</v>
      </c>
      <c r="F41" t="str">
        <f t="shared" si="0"/>
        <v>0000</v>
      </c>
    </row>
    <row r="42" spans="1:6">
      <c r="A42" t="str">
        <f>"T412-28"</f>
        <v>T412-28</v>
      </c>
      <c r="B42" t="str">
        <f t="shared" si="3"/>
        <v>VICO NICOLO DA CORTE VICINO AL 6-</v>
      </c>
      <c r="C42" t="str">
        <f t="shared" si="2"/>
        <v>2</v>
      </c>
      <c r="D42">
        <v>30</v>
      </c>
      <c r="E42" t="str">
        <f>"610"</f>
        <v>610</v>
      </c>
      <c r="F42" t="str">
        <f t="shared" si="0"/>
        <v>0000</v>
      </c>
    </row>
    <row r="43" spans="1:6">
      <c r="A43" t="str">
        <f>"T412-29"</f>
        <v>T412-29</v>
      </c>
      <c r="B43" t="str">
        <f t="shared" si="3"/>
        <v>VICO NICOLO DA CORTE VICINO AL 6-</v>
      </c>
      <c r="C43" t="str">
        <f t="shared" si="2"/>
        <v>2</v>
      </c>
      <c r="D43">
        <v>30</v>
      </c>
      <c r="E43" t="str">
        <f>"691"</f>
        <v>691</v>
      </c>
      <c r="F43" t="str">
        <f t="shared" si="0"/>
        <v>0000</v>
      </c>
    </row>
    <row r="44" spans="1:6">
      <c r="A44" t="str">
        <f>"T412-30"</f>
        <v>T412-30</v>
      </c>
      <c r="B44" t="str">
        <f t="shared" si="3"/>
        <v>VICO NICOLO DA CORTE VICINO AL 6-</v>
      </c>
      <c r="C44" t="str">
        <f t="shared" si="2"/>
        <v>2</v>
      </c>
      <c r="D44">
        <v>30</v>
      </c>
      <c r="E44" t="str">
        <f>"850"</f>
        <v>850</v>
      </c>
      <c r="F44" t="str">
        <f t="shared" si="0"/>
        <v>0000</v>
      </c>
    </row>
    <row r="45" spans="1:6">
      <c r="A45" t="str">
        <f>"T412-31"</f>
        <v>T412-31</v>
      </c>
      <c r="B45" t="str">
        <f t="shared" si="3"/>
        <v>VICO NICOLO DA CORTE VICINO AL 6-</v>
      </c>
      <c r="C45" t="str">
        <f t="shared" si="2"/>
        <v>2</v>
      </c>
      <c r="D45">
        <v>30</v>
      </c>
      <c r="E45" t="str">
        <f>"851"</f>
        <v>851</v>
      </c>
      <c r="F45" t="str">
        <f t="shared" si="0"/>
        <v>0000</v>
      </c>
    </row>
    <row r="46" spans="1:6">
      <c r="A46" t="str">
        <f>"T412-32"</f>
        <v>T412-32</v>
      </c>
      <c r="B46" t="str">
        <f t="shared" si="3"/>
        <v>VICO NICOLO DA CORTE VICINO AL 6-</v>
      </c>
      <c r="C46" t="str">
        <f t="shared" si="2"/>
        <v>2</v>
      </c>
      <c r="D46">
        <v>30</v>
      </c>
      <c r="E46" t="str">
        <f>"853"</f>
        <v>853</v>
      </c>
      <c r="F46" t="str">
        <f t="shared" si="0"/>
        <v>0000</v>
      </c>
    </row>
    <row r="47" spans="1:6">
      <c r="A47" t="str">
        <f>"T413-1"</f>
        <v>T413-1</v>
      </c>
      <c r="B47" t="str">
        <f>"VIA A FIORINO VICINO AL 14-"</f>
        <v>VIA A FIORINO VICINO AL 14-</v>
      </c>
      <c r="C47" t="str">
        <f>"VOL"</f>
        <v>VOL</v>
      </c>
      <c r="D47">
        <v>10</v>
      </c>
      <c r="E47" t="str">
        <f>"A"</f>
        <v>A</v>
      </c>
      <c r="F47" t="str">
        <f t="shared" si="0"/>
        <v>0000</v>
      </c>
    </row>
    <row r="48" spans="1:6">
      <c r="A48" t="str">
        <f>"T414-1"</f>
        <v>T414-1</v>
      </c>
      <c r="B48" t="str">
        <f>"VIA COSTA DEL VENTO VICINO AL 17-"</f>
        <v>VIA COSTA DEL VENTO VICINO AL 17-</v>
      </c>
      <c r="C48" t="str">
        <f t="shared" ref="C48:C55" si="4">"2"</f>
        <v>2</v>
      </c>
      <c r="D48">
        <v>19</v>
      </c>
      <c r="E48" t="str">
        <f>"477"</f>
        <v>477</v>
      </c>
      <c r="F48" t="str">
        <f t="shared" si="0"/>
        <v>0000</v>
      </c>
    </row>
    <row r="49" spans="1:6">
      <c r="A49" t="str">
        <f>"T415-1"</f>
        <v>T415-1</v>
      </c>
      <c r="B49" t="str">
        <f>"VIA PIERO CALAMANDREI VICINO AL 57-"</f>
        <v>VIA PIERO CALAMANDREI VICINO AL 57-</v>
      </c>
      <c r="C49" t="str">
        <f t="shared" si="4"/>
        <v>2</v>
      </c>
      <c r="D49">
        <v>30</v>
      </c>
      <c r="E49" t="str">
        <f>"267"</f>
        <v>267</v>
      </c>
      <c r="F49" t="str">
        <f t="shared" si="0"/>
        <v>0000</v>
      </c>
    </row>
    <row r="50" spans="1:6">
      <c r="A50" t="str">
        <f>"T415-2"</f>
        <v>T415-2</v>
      </c>
      <c r="B50" t="str">
        <f>"VIA PIERO CALAMANDREI VICINO AL 57-"</f>
        <v>VIA PIERO CALAMANDREI VICINO AL 57-</v>
      </c>
      <c r="C50" t="str">
        <f t="shared" si="4"/>
        <v>2</v>
      </c>
      <c r="D50">
        <v>30</v>
      </c>
      <c r="E50" t="str">
        <f>"405"</f>
        <v>405</v>
      </c>
      <c r="F50" t="str">
        <f t="shared" si="0"/>
        <v>0000</v>
      </c>
    </row>
    <row r="51" spans="1:6">
      <c r="A51" t="str">
        <f>"T415-3"</f>
        <v>T415-3</v>
      </c>
      <c r="B51" t="str">
        <f>"VIA PIERO CALAMANDREI VICINO AL 57-"</f>
        <v>VIA PIERO CALAMANDREI VICINO AL 57-</v>
      </c>
      <c r="C51" t="str">
        <f t="shared" si="4"/>
        <v>2</v>
      </c>
      <c r="D51">
        <v>30</v>
      </c>
      <c r="E51" t="str">
        <f>"268"</f>
        <v>268</v>
      </c>
      <c r="F51" t="str">
        <f t="shared" si="0"/>
        <v>0000</v>
      </c>
    </row>
    <row r="52" spans="1:6">
      <c r="A52" t="str">
        <f>"T415-4"</f>
        <v>T415-4</v>
      </c>
      <c r="B52" t="str">
        <f>"VIA PIERO CALAMANDREI VICINO AL 57-"</f>
        <v>VIA PIERO CALAMANDREI VICINO AL 57-</v>
      </c>
      <c r="C52" t="str">
        <f t="shared" si="4"/>
        <v>2</v>
      </c>
      <c r="D52">
        <v>30</v>
      </c>
      <c r="E52" t="str">
        <f>"344"</f>
        <v>344</v>
      </c>
      <c r="F52" t="str">
        <f t="shared" si="0"/>
        <v>0000</v>
      </c>
    </row>
    <row r="53" spans="1:6">
      <c r="A53" t="str">
        <f>"T415-5"</f>
        <v>T415-5</v>
      </c>
      <c r="B53" t="str">
        <f>"VIA PIERO CALAMANDREI VICINO AL 57-"</f>
        <v>VIA PIERO CALAMANDREI VICINO AL 57-</v>
      </c>
      <c r="C53" t="str">
        <f t="shared" si="4"/>
        <v>2</v>
      </c>
      <c r="D53">
        <v>30</v>
      </c>
      <c r="E53" t="str">
        <f>"740"</f>
        <v>740</v>
      </c>
      <c r="F53" t="str">
        <f t="shared" si="0"/>
        <v>0000</v>
      </c>
    </row>
    <row r="54" spans="1:6">
      <c r="A54" t="str">
        <f>"T416-1"</f>
        <v>T416-1</v>
      </c>
      <c r="B54" t="str">
        <f>"VIA OVADA  17-"</f>
        <v>VIA OVADA  17-</v>
      </c>
      <c r="C54" t="str">
        <f t="shared" si="4"/>
        <v>2</v>
      </c>
      <c r="D54">
        <v>30</v>
      </c>
      <c r="E54" t="str">
        <f>"A"</f>
        <v>A</v>
      </c>
      <c r="F54" t="str">
        <f t="shared" si="0"/>
        <v>0000</v>
      </c>
    </row>
    <row r="55" spans="1:6">
      <c r="A55" t="str">
        <f>"T416-2"</f>
        <v>T416-2</v>
      </c>
      <c r="B55" t="str">
        <f>"VIA OVADA  17-"</f>
        <v>VIA OVADA  17-</v>
      </c>
      <c r="C55" t="str">
        <f t="shared" si="4"/>
        <v>2</v>
      </c>
      <c r="D55">
        <v>30</v>
      </c>
      <c r="E55" t="str">
        <f>"469"</f>
        <v>469</v>
      </c>
      <c r="F55" t="str">
        <f t="shared" si="0"/>
        <v>0000</v>
      </c>
    </row>
    <row r="56" spans="1:6">
      <c r="A56" t="str">
        <f>"T417-1"</f>
        <v>T417-1</v>
      </c>
      <c r="B56" t="str">
        <f>"VIA SAPELLO  3-"</f>
        <v>VIA SAPELLO  3-</v>
      </c>
      <c r="C56" t="str">
        <f>"3"</f>
        <v>3</v>
      </c>
      <c r="D56">
        <v>13</v>
      </c>
      <c r="E56" t="str">
        <f>"369"</f>
        <v>369</v>
      </c>
      <c r="F56" t="str">
        <f t="shared" si="0"/>
        <v>0000</v>
      </c>
    </row>
    <row r="57" spans="1:6">
      <c r="A57" t="str">
        <f>"T417-2"</f>
        <v>T417-2</v>
      </c>
      <c r="B57" t="str">
        <f>"VIA SAPELLO  3-"</f>
        <v>VIA SAPELLO  3-</v>
      </c>
      <c r="C57" t="str">
        <f>"3"</f>
        <v>3</v>
      </c>
      <c r="D57">
        <v>13</v>
      </c>
      <c r="E57" t="str">
        <f>"370"</f>
        <v>370</v>
      </c>
      <c r="F57" t="str">
        <f t="shared" si="0"/>
        <v>0000</v>
      </c>
    </row>
    <row r="58" spans="1:6">
      <c r="A58" t="str">
        <f>"T417-3"</f>
        <v>T417-3</v>
      </c>
      <c r="B58" t="str">
        <f>"VIA SAPELLO  3-"</f>
        <v>VIA SAPELLO  3-</v>
      </c>
      <c r="C58" t="str">
        <f>"3"</f>
        <v>3</v>
      </c>
      <c r="D58">
        <v>13</v>
      </c>
      <c r="E58" t="str">
        <f>"115"</f>
        <v>115</v>
      </c>
      <c r="F58" t="str">
        <f t="shared" si="0"/>
        <v>0000</v>
      </c>
    </row>
    <row r="59" spans="1:6">
      <c r="A59" t="str">
        <f>"T417-4"</f>
        <v>T417-4</v>
      </c>
      <c r="B59" t="str">
        <f>"VIA SAPELLO  3-"</f>
        <v>VIA SAPELLO  3-</v>
      </c>
      <c r="C59" t="str">
        <f>"3"</f>
        <v>3</v>
      </c>
      <c r="D59">
        <v>13</v>
      </c>
      <c r="E59" t="str">
        <f>"374"</f>
        <v>374</v>
      </c>
      <c r="F59" t="str">
        <f t="shared" si="0"/>
        <v>0000</v>
      </c>
    </row>
    <row r="60" spans="1:6">
      <c r="A60" t="str">
        <f>"T418-1"</f>
        <v>T418-1</v>
      </c>
      <c r="B60" t="str">
        <f t="shared" ref="B60:B73" si="5">"VIA VESIMA VICINO AL 2A-"</f>
        <v>VIA VESIMA VICINO AL 2A-</v>
      </c>
      <c r="C60" t="str">
        <f t="shared" ref="C60:C73" si="6">"2"</f>
        <v>2</v>
      </c>
      <c r="D60">
        <v>35</v>
      </c>
      <c r="E60" t="str">
        <f>"458"</f>
        <v>458</v>
      </c>
      <c r="F60" t="str">
        <f t="shared" si="0"/>
        <v>0000</v>
      </c>
    </row>
    <row r="61" spans="1:6">
      <c r="A61" t="str">
        <f>"T418-2"</f>
        <v>T418-2</v>
      </c>
      <c r="B61" t="str">
        <f t="shared" si="5"/>
        <v>VIA VESIMA VICINO AL 2A-</v>
      </c>
      <c r="C61" t="str">
        <f t="shared" si="6"/>
        <v>2</v>
      </c>
      <c r="D61">
        <v>35</v>
      </c>
      <c r="E61" t="str">
        <f>"445"</f>
        <v>445</v>
      </c>
      <c r="F61" t="str">
        <f t="shared" si="0"/>
        <v>0000</v>
      </c>
    </row>
    <row r="62" spans="1:6">
      <c r="A62" t="str">
        <f>"T418-3"</f>
        <v>T418-3</v>
      </c>
      <c r="B62" t="str">
        <f t="shared" si="5"/>
        <v>VIA VESIMA VICINO AL 2A-</v>
      </c>
      <c r="C62" t="str">
        <f t="shared" si="6"/>
        <v>2</v>
      </c>
      <c r="D62">
        <v>35</v>
      </c>
      <c r="E62" t="str">
        <f>"446"</f>
        <v>446</v>
      </c>
      <c r="F62" t="str">
        <f t="shared" si="0"/>
        <v>0000</v>
      </c>
    </row>
    <row r="63" spans="1:6">
      <c r="A63" t="str">
        <f>"T418-4"</f>
        <v>T418-4</v>
      </c>
      <c r="B63" t="str">
        <f t="shared" si="5"/>
        <v>VIA VESIMA VICINO AL 2A-</v>
      </c>
      <c r="C63" t="str">
        <f t="shared" si="6"/>
        <v>2</v>
      </c>
      <c r="D63">
        <v>35</v>
      </c>
      <c r="E63" t="str">
        <f>"447"</f>
        <v>447</v>
      </c>
      <c r="F63" t="str">
        <f t="shared" si="0"/>
        <v>0000</v>
      </c>
    </row>
    <row r="64" spans="1:6">
      <c r="A64" t="str">
        <f>"T418-5"</f>
        <v>T418-5</v>
      </c>
      <c r="B64" t="str">
        <f t="shared" si="5"/>
        <v>VIA VESIMA VICINO AL 2A-</v>
      </c>
      <c r="C64" t="str">
        <f t="shared" si="6"/>
        <v>2</v>
      </c>
      <c r="D64">
        <v>35</v>
      </c>
      <c r="E64" t="str">
        <f>"448"</f>
        <v>448</v>
      </c>
      <c r="F64" t="str">
        <f t="shared" si="0"/>
        <v>0000</v>
      </c>
    </row>
    <row r="65" spans="1:6">
      <c r="A65" t="str">
        <f>"T418-6"</f>
        <v>T418-6</v>
      </c>
      <c r="B65" t="str">
        <f t="shared" si="5"/>
        <v>VIA VESIMA VICINO AL 2A-</v>
      </c>
      <c r="C65" t="str">
        <f t="shared" si="6"/>
        <v>2</v>
      </c>
      <c r="D65">
        <v>35</v>
      </c>
      <c r="E65" t="str">
        <f>"450"</f>
        <v>450</v>
      </c>
      <c r="F65" t="str">
        <f t="shared" si="0"/>
        <v>0000</v>
      </c>
    </row>
    <row r="66" spans="1:6">
      <c r="A66" t="str">
        <f>"T418-7"</f>
        <v>T418-7</v>
      </c>
      <c r="B66" t="str">
        <f t="shared" si="5"/>
        <v>VIA VESIMA VICINO AL 2A-</v>
      </c>
      <c r="C66" t="str">
        <f t="shared" si="6"/>
        <v>2</v>
      </c>
      <c r="D66">
        <v>35</v>
      </c>
      <c r="E66" t="str">
        <f>"451"</f>
        <v>451</v>
      </c>
      <c r="F66" t="str">
        <f t="shared" ref="F66:F129" si="7">"0000"</f>
        <v>0000</v>
      </c>
    </row>
    <row r="67" spans="1:6">
      <c r="A67" t="str">
        <f>"T418-8"</f>
        <v>T418-8</v>
      </c>
      <c r="B67" t="str">
        <f t="shared" si="5"/>
        <v>VIA VESIMA VICINO AL 2A-</v>
      </c>
      <c r="C67" t="str">
        <f t="shared" si="6"/>
        <v>2</v>
      </c>
      <c r="D67">
        <v>35</v>
      </c>
      <c r="E67" t="str">
        <f>"452"</f>
        <v>452</v>
      </c>
      <c r="F67" t="str">
        <f t="shared" si="7"/>
        <v>0000</v>
      </c>
    </row>
    <row r="68" spans="1:6">
      <c r="A68" t="str">
        <f>"T418-9"</f>
        <v>T418-9</v>
      </c>
      <c r="B68" t="str">
        <f t="shared" si="5"/>
        <v>VIA VESIMA VICINO AL 2A-</v>
      </c>
      <c r="C68" t="str">
        <f t="shared" si="6"/>
        <v>2</v>
      </c>
      <c r="D68">
        <v>35</v>
      </c>
      <c r="E68" t="str">
        <f>"453"</f>
        <v>453</v>
      </c>
      <c r="F68" t="str">
        <f t="shared" si="7"/>
        <v>0000</v>
      </c>
    </row>
    <row r="69" spans="1:6">
      <c r="A69" t="str">
        <f>"T418-10"</f>
        <v>T418-10</v>
      </c>
      <c r="B69" t="str">
        <f t="shared" si="5"/>
        <v>VIA VESIMA VICINO AL 2A-</v>
      </c>
      <c r="C69" t="str">
        <f t="shared" si="6"/>
        <v>2</v>
      </c>
      <c r="D69">
        <v>35</v>
      </c>
      <c r="E69" t="str">
        <f>"454"</f>
        <v>454</v>
      </c>
      <c r="F69" t="str">
        <f t="shared" si="7"/>
        <v>0000</v>
      </c>
    </row>
    <row r="70" spans="1:6">
      <c r="A70" t="str">
        <f>"T418-11"</f>
        <v>T418-11</v>
      </c>
      <c r="B70" t="str">
        <f t="shared" si="5"/>
        <v>VIA VESIMA VICINO AL 2A-</v>
      </c>
      <c r="C70" t="str">
        <f t="shared" si="6"/>
        <v>2</v>
      </c>
      <c r="D70">
        <v>35</v>
      </c>
      <c r="E70" t="str">
        <f>"455"</f>
        <v>455</v>
      </c>
      <c r="F70" t="str">
        <f t="shared" si="7"/>
        <v>0000</v>
      </c>
    </row>
    <row r="71" spans="1:6">
      <c r="A71" t="str">
        <f>"T418-12"</f>
        <v>T418-12</v>
      </c>
      <c r="B71" t="str">
        <f t="shared" si="5"/>
        <v>VIA VESIMA VICINO AL 2A-</v>
      </c>
      <c r="C71" t="str">
        <f t="shared" si="6"/>
        <v>2</v>
      </c>
      <c r="D71">
        <v>35</v>
      </c>
      <c r="E71" t="str">
        <f>"456"</f>
        <v>456</v>
      </c>
      <c r="F71" t="str">
        <f t="shared" si="7"/>
        <v>0000</v>
      </c>
    </row>
    <row r="72" spans="1:6">
      <c r="A72" t="str">
        <f>"T418-13"</f>
        <v>T418-13</v>
      </c>
      <c r="B72" t="str">
        <f t="shared" si="5"/>
        <v>VIA VESIMA VICINO AL 2A-</v>
      </c>
      <c r="C72" t="str">
        <f t="shared" si="6"/>
        <v>2</v>
      </c>
      <c r="D72">
        <v>35</v>
      </c>
      <c r="E72" t="str">
        <f>"457"</f>
        <v>457</v>
      </c>
      <c r="F72" t="str">
        <f t="shared" si="7"/>
        <v>0000</v>
      </c>
    </row>
    <row r="73" spans="1:6">
      <c r="A73" t="str">
        <f>"T418-14"</f>
        <v>T418-14</v>
      </c>
      <c r="B73" t="str">
        <f t="shared" si="5"/>
        <v>VIA VESIMA VICINO AL 2A-</v>
      </c>
      <c r="C73" t="str">
        <f t="shared" si="6"/>
        <v>2</v>
      </c>
      <c r="D73">
        <v>35</v>
      </c>
      <c r="E73" t="str">
        <f>"460"</f>
        <v>460</v>
      </c>
      <c r="F73" t="str">
        <f t="shared" si="7"/>
        <v>0000</v>
      </c>
    </row>
    <row r="74" spans="1:6">
      <c r="A74" t="str">
        <f>"T421-2"</f>
        <v>T421-2</v>
      </c>
      <c r="B74" t="str">
        <f>"VIA BRANEGA VICINO AL 10O-"</f>
        <v>VIA BRANEGA VICINO AL 10O-</v>
      </c>
      <c r="C74" t="str">
        <f t="shared" ref="C74:C88" si="8">"3"</f>
        <v>3</v>
      </c>
      <c r="D74">
        <v>11</v>
      </c>
      <c r="E74" t="str">
        <f>"862"</f>
        <v>862</v>
      </c>
      <c r="F74" t="str">
        <f t="shared" si="7"/>
        <v>0000</v>
      </c>
    </row>
    <row r="75" spans="1:6">
      <c r="A75" t="str">
        <f>"T421-3"</f>
        <v>T421-3</v>
      </c>
      <c r="B75" t="str">
        <f>"VIA BRANEGA VICINO AL 10O-"</f>
        <v>VIA BRANEGA VICINO AL 10O-</v>
      </c>
      <c r="C75" t="str">
        <f t="shared" si="8"/>
        <v>3</v>
      </c>
      <c r="D75">
        <v>11</v>
      </c>
      <c r="E75" t="str">
        <f>"117"</f>
        <v>117</v>
      </c>
      <c r="F75" t="str">
        <f t="shared" si="7"/>
        <v>0000</v>
      </c>
    </row>
    <row r="76" spans="1:6">
      <c r="A76" t="str">
        <f>"T421-8"</f>
        <v>T421-8</v>
      </c>
      <c r="B76" t="str">
        <f>"VIA BRANEGA VICINO AL 10O-"</f>
        <v>VIA BRANEGA VICINO AL 10O-</v>
      </c>
      <c r="C76" t="str">
        <f t="shared" si="8"/>
        <v>3</v>
      </c>
      <c r="D76">
        <v>11</v>
      </c>
      <c r="E76" t="str">
        <f>"206"</f>
        <v>206</v>
      </c>
      <c r="F76" t="str">
        <f t="shared" si="7"/>
        <v>0000</v>
      </c>
    </row>
    <row r="77" spans="1:6">
      <c r="A77" t="str">
        <f>"T421-9"</f>
        <v>T421-9</v>
      </c>
      <c r="B77" t="str">
        <f>"VIA BRANEGA VICINO AL 10O-"</f>
        <v>VIA BRANEGA VICINO AL 10O-</v>
      </c>
      <c r="C77" t="str">
        <f t="shared" si="8"/>
        <v>3</v>
      </c>
      <c r="D77">
        <v>11</v>
      </c>
      <c r="E77" t="str">
        <f>"207"</f>
        <v>207</v>
      </c>
      <c r="F77" t="str">
        <f t="shared" si="7"/>
        <v>0000</v>
      </c>
    </row>
    <row r="78" spans="1:6">
      <c r="A78" t="str">
        <f>"T422-1"</f>
        <v>T422-1</v>
      </c>
      <c r="B78" t="str">
        <f>"VIA BRANEGA VICINO AL 10P-"</f>
        <v>VIA BRANEGA VICINO AL 10P-</v>
      </c>
      <c r="C78" t="str">
        <f t="shared" si="8"/>
        <v>3</v>
      </c>
      <c r="D78">
        <v>11</v>
      </c>
      <c r="E78" t="str">
        <f>"119"</f>
        <v>119</v>
      </c>
      <c r="F78" t="str">
        <f t="shared" si="7"/>
        <v>0000</v>
      </c>
    </row>
    <row r="79" spans="1:6">
      <c r="A79" t="str">
        <f>"T427-1"</f>
        <v>T427-1</v>
      </c>
      <c r="B79" t="str">
        <f t="shared" ref="B79:B84" si="9">"VIA MARTIRI DEL TURCHINO VICINO AL 99-"</f>
        <v>VIA MARTIRI DEL TURCHINO VICINO AL 99-</v>
      </c>
      <c r="C79" t="str">
        <f t="shared" si="8"/>
        <v>3</v>
      </c>
      <c r="D79">
        <v>10</v>
      </c>
      <c r="E79" t="str">
        <f>"89"</f>
        <v>89</v>
      </c>
      <c r="F79" t="str">
        <f t="shared" si="7"/>
        <v>0000</v>
      </c>
    </row>
    <row r="80" spans="1:6">
      <c r="A80" t="str">
        <f>"T427-2"</f>
        <v>T427-2</v>
      </c>
      <c r="B80" t="str">
        <f t="shared" si="9"/>
        <v>VIA MARTIRI DEL TURCHINO VICINO AL 99-</v>
      </c>
      <c r="C80" t="str">
        <f t="shared" si="8"/>
        <v>3</v>
      </c>
      <c r="D80">
        <v>10</v>
      </c>
      <c r="E80" t="str">
        <f>"90"</f>
        <v>90</v>
      </c>
      <c r="F80" t="str">
        <f t="shared" si="7"/>
        <v>0000</v>
      </c>
    </row>
    <row r="81" spans="1:6">
      <c r="A81" t="str">
        <f>"T427-3"</f>
        <v>T427-3</v>
      </c>
      <c r="B81" t="str">
        <f t="shared" si="9"/>
        <v>VIA MARTIRI DEL TURCHINO VICINO AL 99-</v>
      </c>
      <c r="C81" t="str">
        <f t="shared" si="8"/>
        <v>3</v>
      </c>
      <c r="D81">
        <v>10</v>
      </c>
      <c r="E81" t="str">
        <f>"91"</f>
        <v>91</v>
      </c>
      <c r="F81" t="str">
        <f t="shared" si="7"/>
        <v>0000</v>
      </c>
    </row>
    <row r="82" spans="1:6">
      <c r="A82" t="str">
        <f>"T427-4"</f>
        <v>T427-4</v>
      </c>
      <c r="B82" t="str">
        <f t="shared" si="9"/>
        <v>VIA MARTIRI DEL TURCHINO VICINO AL 99-</v>
      </c>
      <c r="C82" t="str">
        <f t="shared" si="8"/>
        <v>3</v>
      </c>
      <c r="D82">
        <v>10</v>
      </c>
      <c r="E82" t="str">
        <f>"92"</f>
        <v>92</v>
      </c>
      <c r="F82" t="str">
        <f t="shared" si="7"/>
        <v>0000</v>
      </c>
    </row>
    <row r="83" spans="1:6">
      <c r="A83" t="str">
        <f>"T427-5"</f>
        <v>T427-5</v>
      </c>
      <c r="B83" t="str">
        <f t="shared" si="9"/>
        <v>VIA MARTIRI DEL TURCHINO VICINO AL 99-</v>
      </c>
      <c r="C83" t="str">
        <f t="shared" si="8"/>
        <v>3</v>
      </c>
      <c r="D83">
        <v>10</v>
      </c>
      <c r="E83" t="str">
        <f>"183"</f>
        <v>183</v>
      </c>
      <c r="F83" t="str">
        <f t="shared" si="7"/>
        <v>0000</v>
      </c>
    </row>
    <row r="84" spans="1:6">
      <c r="A84" t="str">
        <f>"T427-6"</f>
        <v>T427-6</v>
      </c>
      <c r="B84" t="str">
        <f t="shared" si="9"/>
        <v>VIA MARTIRI DEL TURCHINO VICINO AL 99-</v>
      </c>
      <c r="C84" t="str">
        <f t="shared" si="8"/>
        <v>3</v>
      </c>
      <c r="D84">
        <v>10</v>
      </c>
      <c r="E84" t="str">
        <f>"293"</f>
        <v>293</v>
      </c>
      <c r="F84" t="str">
        <f t="shared" si="7"/>
        <v>0000</v>
      </c>
    </row>
    <row r="85" spans="1:6">
      <c r="A85" t="str">
        <f>"T454-1"</f>
        <v>T454-1</v>
      </c>
      <c r="B85" t="str">
        <f>"SALITA LORENZO CAPPELLONI VICINO AL 7-"</f>
        <v>SALITA LORENZO CAPPELLONI VICINO AL 7-</v>
      </c>
      <c r="C85" t="str">
        <f t="shared" si="8"/>
        <v>3</v>
      </c>
      <c r="D85">
        <v>13</v>
      </c>
      <c r="E85" t="str">
        <f>"18"</f>
        <v>18</v>
      </c>
      <c r="F85" t="str">
        <f t="shared" si="7"/>
        <v>0000</v>
      </c>
    </row>
    <row r="86" spans="1:6">
      <c r="A86" t="str">
        <f>"T454-2"</f>
        <v>T454-2</v>
      </c>
      <c r="B86" t="str">
        <f>"SALITA LORENZO CAPPELLONI VICINO AL 7-"</f>
        <v>SALITA LORENZO CAPPELLONI VICINO AL 7-</v>
      </c>
      <c r="C86" t="str">
        <f t="shared" si="8"/>
        <v>3</v>
      </c>
      <c r="D86">
        <v>13</v>
      </c>
      <c r="E86" t="str">
        <f>"304"</f>
        <v>304</v>
      </c>
      <c r="F86" t="str">
        <f t="shared" si="7"/>
        <v>0000</v>
      </c>
    </row>
    <row r="87" spans="1:6">
      <c r="A87" t="str">
        <f>"T454-4"</f>
        <v>T454-4</v>
      </c>
      <c r="B87" t="str">
        <f>"SALITA LORENZO CAPPELLONI VICINO AL 7-"</f>
        <v>SALITA LORENZO CAPPELLONI VICINO AL 7-</v>
      </c>
      <c r="C87" t="str">
        <f t="shared" si="8"/>
        <v>3</v>
      </c>
      <c r="D87">
        <v>13</v>
      </c>
      <c r="E87" t="str">
        <f>"342"</f>
        <v>342</v>
      </c>
      <c r="F87" t="str">
        <f t="shared" si="7"/>
        <v>0000</v>
      </c>
    </row>
    <row r="88" spans="1:6">
      <c r="A88" t="str">
        <f>"T454-5"</f>
        <v>T454-5</v>
      </c>
      <c r="B88" t="str">
        <f>"SALITA LORENZO CAPPELLONI VICINO AL 7-"</f>
        <v>SALITA LORENZO CAPPELLONI VICINO AL 7-</v>
      </c>
      <c r="C88" t="str">
        <f t="shared" si="8"/>
        <v>3</v>
      </c>
      <c r="D88">
        <v>13</v>
      </c>
      <c r="E88" t="str">
        <f>"344"</f>
        <v>344</v>
      </c>
      <c r="F88" t="str">
        <f t="shared" si="7"/>
        <v>0000</v>
      </c>
    </row>
    <row r="89" spans="1:6">
      <c r="A89" t="str">
        <f>"T475-1"</f>
        <v>T475-1</v>
      </c>
      <c r="B89" t="str">
        <f t="shared" ref="B89:B152" si="10">"COMUNAGLIE DI VOLTRI"</f>
        <v>COMUNAGLIE DI VOLTRI</v>
      </c>
      <c r="C89" t="str">
        <f t="shared" ref="C89:C152" si="11">"2"</f>
        <v>2</v>
      </c>
      <c r="D89">
        <v>1</v>
      </c>
      <c r="E89" t="str">
        <f>"1"</f>
        <v>1</v>
      </c>
      <c r="F89" t="str">
        <f t="shared" si="7"/>
        <v>0000</v>
      </c>
    </row>
    <row r="90" spans="1:6">
      <c r="A90" t="str">
        <f>"T475-2"</f>
        <v>T475-2</v>
      </c>
      <c r="B90" t="str">
        <f t="shared" si="10"/>
        <v>COMUNAGLIE DI VOLTRI</v>
      </c>
      <c r="C90" t="str">
        <f t="shared" si="11"/>
        <v>2</v>
      </c>
      <c r="D90">
        <v>1</v>
      </c>
      <c r="E90" t="str">
        <f>"2"</f>
        <v>2</v>
      </c>
      <c r="F90" t="str">
        <f t="shared" si="7"/>
        <v>0000</v>
      </c>
    </row>
    <row r="91" spans="1:6">
      <c r="A91" t="str">
        <f>"T475-3"</f>
        <v>T475-3</v>
      </c>
      <c r="B91" t="str">
        <f t="shared" si="10"/>
        <v>COMUNAGLIE DI VOLTRI</v>
      </c>
      <c r="C91" t="str">
        <f t="shared" si="11"/>
        <v>2</v>
      </c>
      <c r="D91">
        <v>1</v>
      </c>
      <c r="E91" t="str">
        <f>"3"</f>
        <v>3</v>
      </c>
      <c r="F91" t="str">
        <f t="shared" si="7"/>
        <v>0000</v>
      </c>
    </row>
    <row r="92" spans="1:6">
      <c r="A92" t="str">
        <f>"T475-4"</f>
        <v>T475-4</v>
      </c>
      <c r="B92" t="str">
        <f t="shared" si="10"/>
        <v>COMUNAGLIE DI VOLTRI</v>
      </c>
      <c r="C92" t="str">
        <f t="shared" si="11"/>
        <v>2</v>
      </c>
      <c r="D92">
        <v>1</v>
      </c>
      <c r="E92" t="str">
        <f>"4"</f>
        <v>4</v>
      </c>
      <c r="F92" t="str">
        <f t="shared" si="7"/>
        <v>0000</v>
      </c>
    </row>
    <row r="93" spans="1:6">
      <c r="A93" t="str">
        <f>"T475-5"</f>
        <v>T475-5</v>
      </c>
      <c r="B93" t="str">
        <f t="shared" si="10"/>
        <v>COMUNAGLIE DI VOLTRI</v>
      </c>
      <c r="C93" t="str">
        <f t="shared" si="11"/>
        <v>2</v>
      </c>
      <c r="D93">
        <v>1</v>
      </c>
      <c r="E93" t="str">
        <f>"5"</f>
        <v>5</v>
      </c>
      <c r="F93" t="str">
        <f t="shared" si="7"/>
        <v>0000</v>
      </c>
    </row>
    <row r="94" spans="1:6">
      <c r="A94" t="str">
        <f>"T475-6"</f>
        <v>T475-6</v>
      </c>
      <c r="B94" t="str">
        <f t="shared" si="10"/>
        <v>COMUNAGLIE DI VOLTRI</v>
      </c>
      <c r="C94" t="str">
        <f t="shared" si="11"/>
        <v>2</v>
      </c>
      <c r="D94">
        <v>1</v>
      </c>
      <c r="E94" t="str">
        <f>"6"</f>
        <v>6</v>
      </c>
      <c r="F94" t="str">
        <f t="shared" si="7"/>
        <v>0000</v>
      </c>
    </row>
    <row r="95" spans="1:6">
      <c r="A95" t="str">
        <f>"T475-7"</f>
        <v>T475-7</v>
      </c>
      <c r="B95" t="str">
        <f t="shared" si="10"/>
        <v>COMUNAGLIE DI VOLTRI</v>
      </c>
      <c r="C95" t="str">
        <f t="shared" si="11"/>
        <v>2</v>
      </c>
      <c r="D95">
        <v>1</v>
      </c>
      <c r="E95" t="str">
        <f>"7"</f>
        <v>7</v>
      </c>
      <c r="F95" t="str">
        <f t="shared" si="7"/>
        <v>0000</v>
      </c>
    </row>
    <row r="96" spans="1:6">
      <c r="A96" t="str">
        <f>"T475-8"</f>
        <v>T475-8</v>
      </c>
      <c r="B96" t="str">
        <f t="shared" si="10"/>
        <v>COMUNAGLIE DI VOLTRI</v>
      </c>
      <c r="C96" t="str">
        <f t="shared" si="11"/>
        <v>2</v>
      </c>
      <c r="D96">
        <v>1</v>
      </c>
      <c r="E96" t="str">
        <f>"8"</f>
        <v>8</v>
      </c>
      <c r="F96" t="str">
        <f t="shared" si="7"/>
        <v>0000</v>
      </c>
    </row>
    <row r="97" spans="1:6">
      <c r="A97" t="str">
        <f>"T475-9"</f>
        <v>T475-9</v>
      </c>
      <c r="B97" t="str">
        <f t="shared" si="10"/>
        <v>COMUNAGLIE DI VOLTRI</v>
      </c>
      <c r="C97" t="str">
        <f t="shared" si="11"/>
        <v>2</v>
      </c>
      <c r="D97">
        <v>1</v>
      </c>
      <c r="E97" t="str">
        <f>"9"</f>
        <v>9</v>
      </c>
      <c r="F97" t="str">
        <f t="shared" si="7"/>
        <v>0000</v>
      </c>
    </row>
    <row r="98" spans="1:6">
      <c r="A98" t="str">
        <f>"T475-10"</f>
        <v>T475-10</v>
      </c>
      <c r="B98" t="str">
        <f t="shared" si="10"/>
        <v>COMUNAGLIE DI VOLTRI</v>
      </c>
      <c r="C98" t="str">
        <f t="shared" si="11"/>
        <v>2</v>
      </c>
      <c r="D98">
        <v>1</v>
      </c>
      <c r="E98" t="str">
        <f>"10"</f>
        <v>10</v>
      </c>
      <c r="F98" t="str">
        <f t="shared" si="7"/>
        <v>0000</v>
      </c>
    </row>
    <row r="99" spans="1:6">
      <c r="A99" t="str">
        <f>"T475-11"</f>
        <v>T475-11</v>
      </c>
      <c r="B99" t="str">
        <f t="shared" si="10"/>
        <v>COMUNAGLIE DI VOLTRI</v>
      </c>
      <c r="C99" t="str">
        <f t="shared" si="11"/>
        <v>2</v>
      </c>
      <c r="D99">
        <v>1</v>
      </c>
      <c r="E99" t="str">
        <f>"11"</f>
        <v>11</v>
      </c>
      <c r="F99" t="str">
        <f t="shared" si="7"/>
        <v>0000</v>
      </c>
    </row>
    <row r="100" spans="1:6">
      <c r="A100" t="str">
        <f>"T475-12"</f>
        <v>T475-12</v>
      </c>
      <c r="B100" t="str">
        <f t="shared" si="10"/>
        <v>COMUNAGLIE DI VOLTRI</v>
      </c>
      <c r="C100" t="str">
        <f t="shared" si="11"/>
        <v>2</v>
      </c>
      <c r="D100">
        <v>1</v>
      </c>
      <c r="E100" t="str">
        <f>"12"</f>
        <v>12</v>
      </c>
      <c r="F100" t="str">
        <f t="shared" si="7"/>
        <v>0000</v>
      </c>
    </row>
    <row r="101" spans="1:6">
      <c r="A101" t="str">
        <f>"T475-13"</f>
        <v>T475-13</v>
      </c>
      <c r="B101" t="str">
        <f t="shared" si="10"/>
        <v>COMUNAGLIE DI VOLTRI</v>
      </c>
      <c r="C101" t="str">
        <f t="shared" si="11"/>
        <v>2</v>
      </c>
      <c r="D101">
        <v>1</v>
      </c>
      <c r="E101" t="str">
        <f>"13"</f>
        <v>13</v>
      </c>
      <c r="F101" t="str">
        <f t="shared" si="7"/>
        <v>0000</v>
      </c>
    </row>
    <row r="102" spans="1:6">
      <c r="A102" t="str">
        <f>"T475-14"</f>
        <v>T475-14</v>
      </c>
      <c r="B102" t="str">
        <f t="shared" si="10"/>
        <v>COMUNAGLIE DI VOLTRI</v>
      </c>
      <c r="C102" t="str">
        <f t="shared" si="11"/>
        <v>2</v>
      </c>
      <c r="D102">
        <v>1</v>
      </c>
      <c r="E102" t="str">
        <f>"14"</f>
        <v>14</v>
      </c>
      <c r="F102" t="str">
        <f t="shared" si="7"/>
        <v>0000</v>
      </c>
    </row>
    <row r="103" spans="1:6">
      <c r="A103" t="str">
        <f>"T475-15"</f>
        <v>T475-15</v>
      </c>
      <c r="B103" t="str">
        <f t="shared" si="10"/>
        <v>COMUNAGLIE DI VOLTRI</v>
      </c>
      <c r="C103" t="str">
        <f t="shared" si="11"/>
        <v>2</v>
      </c>
      <c r="D103">
        <v>1</v>
      </c>
      <c r="E103" t="str">
        <f>"15"</f>
        <v>15</v>
      </c>
      <c r="F103" t="str">
        <f t="shared" si="7"/>
        <v>0000</v>
      </c>
    </row>
    <row r="104" spans="1:6">
      <c r="A104" t="str">
        <f>"T475-16"</f>
        <v>T475-16</v>
      </c>
      <c r="B104" t="str">
        <f t="shared" si="10"/>
        <v>COMUNAGLIE DI VOLTRI</v>
      </c>
      <c r="C104" t="str">
        <f t="shared" si="11"/>
        <v>2</v>
      </c>
      <c r="D104">
        <v>1</v>
      </c>
      <c r="E104" t="str">
        <f>"16"</f>
        <v>16</v>
      </c>
      <c r="F104" t="str">
        <f t="shared" si="7"/>
        <v>0000</v>
      </c>
    </row>
    <row r="105" spans="1:6">
      <c r="A105" t="str">
        <f>"T475-17"</f>
        <v>T475-17</v>
      </c>
      <c r="B105" t="str">
        <f t="shared" si="10"/>
        <v>COMUNAGLIE DI VOLTRI</v>
      </c>
      <c r="C105" t="str">
        <f t="shared" si="11"/>
        <v>2</v>
      </c>
      <c r="D105">
        <v>1</v>
      </c>
      <c r="E105" t="str">
        <f>"17"</f>
        <v>17</v>
      </c>
      <c r="F105" t="str">
        <f t="shared" si="7"/>
        <v>0000</v>
      </c>
    </row>
    <row r="106" spans="1:6">
      <c r="A106" t="str">
        <f>"T475-18"</f>
        <v>T475-18</v>
      </c>
      <c r="B106" t="str">
        <f t="shared" si="10"/>
        <v>COMUNAGLIE DI VOLTRI</v>
      </c>
      <c r="C106" t="str">
        <f t="shared" si="11"/>
        <v>2</v>
      </c>
      <c r="D106">
        <v>1</v>
      </c>
      <c r="E106" t="str">
        <f>"18"</f>
        <v>18</v>
      </c>
      <c r="F106" t="str">
        <f t="shared" si="7"/>
        <v>0000</v>
      </c>
    </row>
    <row r="107" spans="1:6">
      <c r="A107" t="str">
        <f>"T475-19"</f>
        <v>T475-19</v>
      </c>
      <c r="B107" t="str">
        <f t="shared" si="10"/>
        <v>COMUNAGLIE DI VOLTRI</v>
      </c>
      <c r="C107" t="str">
        <f t="shared" si="11"/>
        <v>2</v>
      </c>
      <c r="D107">
        <v>1</v>
      </c>
      <c r="E107" t="str">
        <f>"19"</f>
        <v>19</v>
      </c>
      <c r="F107" t="str">
        <f t="shared" si="7"/>
        <v>0000</v>
      </c>
    </row>
    <row r="108" spans="1:6">
      <c r="A108" t="str">
        <f>"T475-20"</f>
        <v>T475-20</v>
      </c>
      <c r="B108" t="str">
        <f t="shared" si="10"/>
        <v>COMUNAGLIE DI VOLTRI</v>
      </c>
      <c r="C108" t="str">
        <f t="shared" si="11"/>
        <v>2</v>
      </c>
      <c r="D108">
        <v>1</v>
      </c>
      <c r="E108" t="str">
        <f>"20"</f>
        <v>20</v>
      </c>
      <c r="F108" t="str">
        <f t="shared" si="7"/>
        <v>0000</v>
      </c>
    </row>
    <row r="109" spans="1:6">
      <c r="A109" t="str">
        <f>"T475-21"</f>
        <v>T475-21</v>
      </c>
      <c r="B109" t="str">
        <f t="shared" si="10"/>
        <v>COMUNAGLIE DI VOLTRI</v>
      </c>
      <c r="C109" t="str">
        <f t="shared" si="11"/>
        <v>2</v>
      </c>
      <c r="D109">
        <v>1</v>
      </c>
      <c r="E109" t="str">
        <f>"21"</f>
        <v>21</v>
      </c>
      <c r="F109" t="str">
        <f t="shared" si="7"/>
        <v>0000</v>
      </c>
    </row>
    <row r="110" spans="1:6">
      <c r="A110" t="str">
        <f>"T475-22"</f>
        <v>T475-22</v>
      </c>
      <c r="B110" t="str">
        <f t="shared" si="10"/>
        <v>COMUNAGLIE DI VOLTRI</v>
      </c>
      <c r="C110" t="str">
        <f t="shared" si="11"/>
        <v>2</v>
      </c>
      <c r="D110">
        <v>1</v>
      </c>
      <c r="E110" t="str">
        <f>"22"</f>
        <v>22</v>
      </c>
      <c r="F110" t="str">
        <f t="shared" si="7"/>
        <v>0000</v>
      </c>
    </row>
    <row r="111" spans="1:6">
      <c r="A111" t="str">
        <f>"T475-23"</f>
        <v>T475-23</v>
      </c>
      <c r="B111" t="str">
        <f t="shared" si="10"/>
        <v>COMUNAGLIE DI VOLTRI</v>
      </c>
      <c r="C111" t="str">
        <f t="shared" si="11"/>
        <v>2</v>
      </c>
      <c r="D111">
        <v>1</v>
      </c>
      <c r="E111" t="str">
        <f>"23"</f>
        <v>23</v>
      </c>
      <c r="F111" t="str">
        <f t="shared" si="7"/>
        <v>0000</v>
      </c>
    </row>
    <row r="112" spans="1:6">
      <c r="A112" t="str">
        <f>"T475-24"</f>
        <v>T475-24</v>
      </c>
      <c r="B112" t="str">
        <f t="shared" si="10"/>
        <v>COMUNAGLIE DI VOLTRI</v>
      </c>
      <c r="C112" t="str">
        <f t="shared" si="11"/>
        <v>2</v>
      </c>
      <c r="D112">
        <v>1</v>
      </c>
      <c r="E112" t="str">
        <f>"24"</f>
        <v>24</v>
      </c>
      <c r="F112" t="str">
        <f t="shared" si="7"/>
        <v>0000</v>
      </c>
    </row>
    <row r="113" spans="1:6">
      <c r="A113" t="str">
        <f>"T475-25"</f>
        <v>T475-25</v>
      </c>
      <c r="B113" t="str">
        <f t="shared" si="10"/>
        <v>COMUNAGLIE DI VOLTRI</v>
      </c>
      <c r="C113" t="str">
        <f t="shared" si="11"/>
        <v>2</v>
      </c>
      <c r="D113">
        <v>1</v>
      </c>
      <c r="E113" t="str">
        <f>"25"</f>
        <v>25</v>
      </c>
      <c r="F113" t="str">
        <f t="shared" si="7"/>
        <v>0000</v>
      </c>
    </row>
    <row r="114" spans="1:6">
      <c r="A114" t="str">
        <f>"T475-26"</f>
        <v>T475-26</v>
      </c>
      <c r="B114" t="str">
        <f t="shared" si="10"/>
        <v>COMUNAGLIE DI VOLTRI</v>
      </c>
      <c r="C114" t="str">
        <f t="shared" si="11"/>
        <v>2</v>
      </c>
      <c r="D114">
        <v>1</v>
      </c>
      <c r="E114" t="str">
        <f>"26"</f>
        <v>26</v>
      </c>
      <c r="F114" t="str">
        <f t="shared" si="7"/>
        <v>0000</v>
      </c>
    </row>
    <row r="115" spans="1:6">
      <c r="A115" t="str">
        <f>"T475-27"</f>
        <v>T475-27</v>
      </c>
      <c r="B115" t="str">
        <f t="shared" si="10"/>
        <v>COMUNAGLIE DI VOLTRI</v>
      </c>
      <c r="C115" t="str">
        <f t="shared" si="11"/>
        <v>2</v>
      </c>
      <c r="D115">
        <v>1</v>
      </c>
      <c r="E115" t="str">
        <f>"27"</f>
        <v>27</v>
      </c>
      <c r="F115" t="str">
        <f t="shared" si="7"/>
        <v>0000</v>
      </c>
    </row>
    <row r="116" spans="1:6">
      <c r="A116" t="str">
        <f>"T475-28"</f>
        <v>T475-28</v>
      </c>
      <c r="B116" t="str">
        <f t="shared" si="10"/>
        <v>COMUNAGLIE DI VOLTRI</v>
      </c>
      <c r="C116" t="str">
        <f t="shared" si="11"/>
        <v>2</v>
      </c>
      <c r="D116">
        <v>1</v>
      </c>
      <c r="E116" t="str">
        <f>"28"</f>
        <v>28</v>
      </c>
      <c r="F116" t="str">
        <f t="shared" si="7"/>
        <v>0000</v>
      </c>
    </row>
    <row r="117" spans="1:6">
      <c r="A117" t="str">
        <f>"T475-29"</f>
        <v>T475-29</v>
      </c>
      <c r="B117" t="str">
        <f t="shared" si="10"/>
        <v>COMUNAGLIE DI VOLTRI</v>
      </c>
      <c r="C117" t="str">
        <f t="shared" si="11"/>
        <v>2</v>
      </c>
      <c r="D117">
        <v>1</v>
      </c>
      <c r="E117" t="str">
        <f>"29"</f>
        <v>29</v>
      </c>
      <c r="F117" t="str">
        <f t="shared" si="7"/>
        <v>0000</v>
      </c>
    </row>
    <row r="118" spans="1:6">
      <c r="A118" t="str">
        <f>"T475-30"</f>
        <v>T475-30</v>
      </c>
      <c r="B118" t="str">
        <f t="shared" si="10"/>
        <v>COMUNAGLIE DI VOLTRI</v>
      </c>
      <c r="C118" t="str">
        <f t="shared" si="11"/>
        <v>2</v>
      </c>
      <c r="D118">
        <v>1</v>
      </c>
      <c r="E118" t="str">
        <f>"30"</f>
        <v>30</v>
      </c>
      <c r="F118" t="str">
        <f t="shared" si="7"/>
        <v>0000</v>
      </c>
    </row>
    <row r="119" spans="1:6">
      <c r="A119" t="str">
        <f>"T475-31"</f>
        <v>T475-31</v>
      </c>
      <c r="B119" t="str">
        <f t="shared" si="10"/>
        <v>COMUNAGLIE DI VOLTRI</v>
      </c>
      <c r="C119" t="str">
        <f t="shared" si="11"/>
        <v>2</v>
      </c>
      <c r="D119">
        <v>1</v>
      </c>
      <c r="E119" t="str">
        <f>"31"</f>
        <v>31</v>
      </c>
      <c r="F119" t="str">
        <f t="shared" si="7"/>
        <v>0000</v>
      </c>
    </row>
    <row r="120" spans="1:6">
      <c r="A120" t="str">
        <f>"T475-32"</f>
        <v>T475-32</v>
      </c>
      <c r="B120" t="str">
        <f t="shared" si="10"/>
        <v>COMUNAGLIE DI VOLTRI</v>
      </c>
      <c r="C120" t="str">
        <f t="shared" si="11"/>
        <v>2</v>
      </c>
      <c r="D120">
        <v>1</v>
      </c>
      <c r="E120" t="str">
        <f>"32"</f>
        <v>32</v>
      </c>
      <c r="F120" t="str">
        <f t="shared" si="7"/>
        <v>0000</v>
      </c>
    </row>
    <row r="121" spans="1:6">
      <c r="A121" t="str">
        <f>"T475-33"</f>
        <v>T475-33</v>
      </c>
      <c r="B121" t="str">
        <f t="shared" si="10"/>
        <v>COMUNAGLIE DI VOLTRI</v>
      </c>
      <c r="C121" t="str">
        <f t="shared" si="11"/>
        <v>2</v>
      </c>
      <c r="D121">
        <v>1</v>
      </c>
      <c r="E121" t="str">
        <f>"33"</f>
        <v>33</v>
      </c>
      <c r="F121" t="str">
        <f t="shared" si="7"/>
        <v>0000</v>
      </c>
    </row>
    <row r="122" spans="1:6">
      <c r="A122" t="str">
        <f>"T475-34"</f>
        <v>T475-34</v>
      </c>
      <c r="B122" t="str">
        <f t="shared" si="10"/>
        <v>COMUNAGLIE DI VOLTRI</v>
      </c>
      <c r="C122" t="str">
        <f t="shared" si="11"/>
        <v>2</v>
      </c>
      <c r="D122">
        <v>1</v>
      </c>
      <c r="E122" t="str">
        <f>"34"</f>
        <v>34</v>
      </c>
      <c r="F122" t="str">
        <f t="shared" si="7"/>
        <v>0000</v>
      </c>
    </row>
    <row r="123" spans="1:6">
      <c r="A123" t="str">
        <f>"T475-35"</f>
        <v>T475-35</v>
      </c>
      <c r="B123" t="str">
        <f t="shared" si="10"/>
        <v>COMUNAGLIE DI VOLTRI</v>
      </c>
      <c r="C123" t="str">
        <f t="shared" si="11"/>
        <v>2</v>
      </c>
      <c r="D123">
        <v>1</v>
      </c>
      <c r="E123" t="str">
        <f>"35"</f>
        <v>35</v>
      </c>
      <c r="F123" t="str">
        <f t="shared" si="7"/>
        <v>0000</v>
      </c>
    </row>
    <row r="124" spans="1:6">
      <c r="A124" t="str">
        <f>"T475-36"</f>
        <v>T475-36</v>
      </c>
      <c r="B124" t="str">
        <f t="shared" si="10"/>
        <v>COMUNAGLIE DI VOLTRI</v>
      </c>
      <c r="C124" t="str">
        <f t="shared" si="11"/>
        <v>2</v>
      </c>
      <c r="D124">
        <v>1</v>
      </c>
      <c r="E124" t="str">
        <f>"36"</f>
        <v>36</v>
      </c>
      <c r="F124" t="str">
        <f t="shared" si="7"/>
        <v>0000</v>
      </c>
    </row>
    <row r="125" spans="1:6">
      <c r="A125" t="str">
        <f>"T475-37"</f>
        <v>T475-37</v>
      </c>
      <c r="B125" t="str">
        <f t="shared" si="10"/>
        <v>COMUNAGLIE DI VOLTRI</v>
      </c>
      <c r="C125" t="str">
        <f t="shared" si="11"/>
        <v>2</v>
      </c>
      <c r="D125">
        <v>1</v>
      </c>
      <c r="E125" t="str">
        <f>"37"</f>
        <v>37</v>
      </c>
      <c r="F125" t="str">
        <f t="shared" si="7"/>
        <v>0000</v>
      </c>
    </row>
    <row r="126" spans="1:6">
      <c r="A126" t="str">
        <f>"T475-38"</f>
        <v>T475-38</v>
      </c>
      <c r="B126" t="str">
        <f t="shared" si="10"/>
        <v>COMUNAGLIE DI VOLTRI</v>
      </c>
      <c r="C126" t="str">
        <f t="shared" si="11"/>
        <v>2</v>
      </c>
      <c r="D126">
        <v>1</v>
      </c>
      <c r="E126" t="str">
        <f>"38"</f>
        <v>38</v>
      </c>
      <c r="F126" t="str">
        <f t="shared" si="7"/>
        <v>0000</v>
      </c>
    </row>
    <row r="127" spans="1:6">
      <c r="A127" t="str">
        <f>"T475-39"</f>
        <v>T475-39</v>
      </c>
      <c r="B127" t="str">
        <f t="shared" si="10"/>
        <v>COMUNAGLIE DI VOLTRI</v>
      </c>
      <c r="C127" t="str">
        <f t="shared" si="11"/>
        <v>2</v>
      </c>
      <c r="D127">
        <v>1</v>
      </c>
      <c r="E127" t="str">
        <f>"39"</f>
        <v>39</v>
      </c>
      <c r="F127" t="str">
        <f t="shared" si="7"/>
        <v>0000</v>
      </c>
    </row>
    <row r="128" spans="1:6">
      <c r="A128" t="str">
        <f>"T475-40"</f>
        <v>T475-40</v>
      </c>
      <c r="B128" t="str">
        <f t="shared" si="10"/>
        <v>COMUNAGLIE DI VOLTRI</v>
      </c>
      <c r="C128" t="str">
        <f t="shared" si="11"/>
        <v>2</v>
      </c>
      <c r="D128">
        <v>1</v>
      </c>
      <c r="E128" t="str">
        <f>"40"</f>
        <v>40</v>
      </c>
      <c r="F128" t="str">
        <f t="shared" si="7"/>
        <v>0000</v>
      </c>
    </row>
    <row r="129" spans="1:6">
      <c r="A129" t="str">
        <f>"T475-41"</f>
        <v>T475-41</v>
      </c>
      <c r="B129" t="str">
        <f t="shared" si="10"/>
        <v>COMUNAGLIE DI VOLTRI</v>
      </c>
      <c r="C129" t="str">
        <f t="shared" si="11"/>
        <v>2</v>
      </c>
      <c r="D129">
        <v>1</v>
      </c>
      <c r="E129" t="str">
        <f>"41"</f>
        <v>41</v>
      </c>
      <c r="F129" t="str">
        <f t="shared" si="7"/>
        <v>0000</v>
      </c>
    </row>
    <row r="130" spans="1:6">
      <c r="A130" t="str">
        <f>"T475-42"</f>
        <v>T475-42</v>
      </c>
      <c r="B130" t="str">
        <f t="shared" si="10"/>
        <v>COMUNAGLIE DI VOLTRI</v>
      </c>
      <c r="C130" t="str">
        <f t="shared" si="11"/>
        <v>2</v>
      </c>
      <c r="D130">
        <v>1</v>
      </c>
      <c r="E130" t="str">
        <f>"42"</f>
        <v>42</v>
      </c>
      <c r="F130" t="str">
        <f t="shared" ref="F130:F193" si="12">"0000"</f>
        <v>0000</v>
      </c>
    </row>
    <row r="131" spans="1:6">
      <c r="A131" t="str">
        <f>"T475-43"</f>
        <v>T475-43</v>
      </c>
      <c r="B131" t="str">
        <f t="shared" si="10"/>
        <v>COMUNAGLIE DI VOLTRI</v>
      </c>
      <c r="C131" t="str">
        <f t="shared" si="11"/>
        <v>2</v>
      </c>
      <c r="D131">
        <v>1</v>
      </c>
      <c r="E131" t="str">
        <f>"43"</f>
        <v>43</v>
      </c>
      <c r="F131" t="str">
        <f t="shared" si="12"/>
        <v>0000</v>
      </c>
    </row>
    <row r="132" spans="1:6">
      <c r="A132" t="str">
        <f>"T475-44"</f>
        <v>T475-44</v>
      </c>
      <c r="B132" t="str">
        <f t="shared" si="10"/>
        <v>COMUNAGLIE DI VOLTRI</v>
      </c>
      <c r="C132" t="str">
        <f t="shared" si="11"/>
        <v>2</v>
      </c>
      <c r="D132">
        <v>1</v>
      </c>
      <c r="E132" t="str">
        <f>"44"</f>
        <v>44</v>
      </c>
      <c r="F132" t="str">
        <f t="shared" si="12"/>
        <v>0000</v>
      </c>
    </row>
    <row r="133" spans="1:6">
      <c r="A133" t="str">
        <f>"T475-45"</f>
        <v>T475-45</v>
      </c>
      <c r="B133" t="str">
        <f t="shared" si="10"/>
        <v>COMUNAGLIE DI VOLTRI</v>
      </c>
      <c r="C133" t="str">
        <f t="shared" si="11"/>
        <v>2</v>
      </c>
      <c r="D133">
        <v>1</v>
      </c>
      <c r="E133" t="str">
        <f>"45"</f>
        <v>45</v>
      </c>
      <c r="F133" t="str">
        <f t="shared" si="12"/>
        <v>0000</v>
      </c>
    </row>
    <row r="134" spans="1:6">
      <c r="A134" t="str">
        <f>"T475-46"</f>
        <v>T475-46</v>
      </c>
      <c r="B134" t="str">
        <f t="shared" si="10"/>
        <v>COMUNAGLIE DI VOLTRI</v>
      </c>
      <c r="C134" t="str">
        <f t="shared" si="11"/>
        <v>2</v>
      </c>
      <c r="D134">
        <v>1</v>
      </c>
      <c r="E134" t="str">
        <f>"46"</f>
        <v>46</v>
      </c>
      <c r="F134" t="str">
        <f t="shared" si="12"/>
        <v>0000</v>
      </c>
    </row>
    <row r="135" spans="1:6">
      <c r="A135" t="str">
        <f>"T475-47"</f>
        <v>T475-47</v>
      </c>
      <c r="B135" t="str">
        <f t="shared" si="10"/>
        <v>COMUNAGLIE DI VOLTRI</v>
      </c>
      <c r="C135" t="str">
        <f t="shared" si="11"/>
        <v>2</v>
      </c>
      <c r="D135">
        <v>1</v>
      </c>
      <c r="E135" t="str">
        <f>"47"</f>
        <v>47</v>
      </c>
      <c r="F135" t="str">
        <f t="shared" si="12"/>
        <v>0000</v>
      </c>
    </row>
    <row r="136" spans="1:6">
      <c r="A136" t="str">
        <f>"T475-48"</f>
        <v>T475-48</v>
      </c>
      <c r="B136" t="str">
        <f t="shared" si="10"/>
        <v>COMUNAGLIE DI VOLTRI</v>
      </c>
      <c r="C136" t="str">
        <f t="shared" si="11"/>
        <v>2</v>
      </c>
      <c r="D136">
        <v>1</v>
      </c>
      <c r="E136" t="str">
        <f>"48"</f>
        <v>48</v>
      </c>
      <c r="F136" t="str">
        <f t="shared" si="12"/>
        <v>0000</v>
      </c>
    </row>
    <row r="137" spans="1:6">
      <c r="A137" t="str">
        <f>"T475-49"</f>
        <v>T475-49</v>
      </c>
      <c r="B137" t="str">
        <f t="shared" si="10"/>
        <v>COMUNAGLIE DI VOLTRI</v>
      </c>
      <c r="C137" t="str">
        <f t="shared" si="11"/>
        <v>2</v>
      </c>
      <c r="D137">
        <v>1</v>
      </c>
      <c r="E137" t="str">
        <f>"49"</f>
        <v>49</v>
      </c>
      <c r="F137" t="str">
        <f t="shared" si="12"/>
        <v>0000</v>
      </c>
    </row>
    <row r="138" spans="1:6">
      <c r="A138" t="str">
        <f>"T475-50"</f>
        <v>T475-50</v>
      </c>
      <c r="B138" t="str">
        <f t="shared" si="10"/>
        <v>COMUNAGLIE DI VOLTRI</v>
      </c>
      <c r="C138" t="str">
        <f t="shared" si="11"/>
        <v>2</v>
      </c>
      <c r="D138">
        <v>1</v>
      </c>
      <c r="E138" t="str">
        <f>"50"</f>
        <v>50</v>
      </c>
      <c r="F138" t="str">
        <f t="shared" si="12"/>
        <v>0000</v>
      </c>
    </row>
    <row r="139" spans="1:6">
      <c r="A139" t="str">
        <f>"T475-51"</f>
        <v>T475-51</v>
      </c>
      <c r="B139" t="str">
        <f t="shared" si="10"/>
        <v>COMUNAGLIE DI VOLTRI</v>
      </c>
      <c r="C139" t="str">
        <f t="shared" si="11"/>
        <v>2</v>
      </c>
      <c r="D139">
        <v>1</v>
      </c>
      <c r="E139" t="str">
        <f>"51"</f>
        <v>51</v>
      </c>
      <c r="F139" t="str">
        <f t="shared" si="12"/>
        <v>0000</v>
      </c>
    </row>
    <row r="140" spans="1:6">
      <c r="A140" t="str">
        <f>"T475-52"</f>
        <v>T475-52</v>
      </c>
      <c r="B140" t="str">
        <f t="shared" si="10"/>
        <v>COMUNAGLIE DI VOLTRI</v>
      </c>
      <c r="C140" t="str">
        <f t="shared" si="11"/>
        <v>2</v>
      </c>
      <c r="D140">
        <v>1</v>
      </c>
      <c r="E140" t="str">
        <f>"52"</f>
        <v>52</v>
      </c>
      <c r="F140" t="str">
        <f t="shared" si="12"/>
        <v>0000</v>
      </c>
    </row>
    <row r="141" spans="1:6">
      <c r="A141" t="str">
        <f>"T475-53"</f>
        <v>T475-53</v>
      </c>
      <c r="B141" t="str">
        <f t="shared" si="10"/>
        <v>COMUNAGLIE DI VOLTRI</v>
      </c>
      <c r="C141" t="str">
        <f t="shared" si="11"/>
        <v>2</v>
      </c>
      <c r="D141">
        <v>1</v>
      </c>
      <c r="E141" t="str">
        <f>"53"</f>
        <v>53</v>
      </c>
      <c r="F141" t="str">
        <f t="shared" si="12"/>
        <v>0000</v>
      </c>
    </row>
    <row r="142" spans="1:6">
      <c r="A142" t="str">
        <f>"T475-54"</f>
        <v>T475-54</v>
      </c>
      <c r="B142" t="str">
        <f t="shared" si="10"/>
        <v>COMUNAGLIE DI VOLTRI</v>
      </c>
      <c r="C142" t="str">
        <f t="shared" si="11"/>
        <v>2</v>
      </c>
      <c r="D142">
        <v>1</v>
      </c>
      <c r="E142" t="str">
        <f>"54"</f>
        <v>54</v>
      </c>
      <c r="F142" t="str">
        <f t="shared" si="12"/>
        <v>0000</v>
      </c>
    </row>
    <row r="143" spans="1:6">
      <c r="A143" t="str">
        <f>"T475-55"</f>
        <v>T475-55</v>
      </c>
      <c r="B143" t="str">
        <f t="shared" si="10"/>
        <v>COMUNAGLIE DI VOLTRI</v>
      </c>
      <c r="C143" t="str">
        <f t="shared" si="11"/>
        <v>2</v>
      </c>
      <c r="D143">
        <v>2</v>
      </c>
      <c r="E143" t="str">
        <f>"1"</f>
        <v>1</v>
      </c>
      <c r="F143" t="str">
        <f t="shared" si="12"/>
        <v>0000</v>
      </c>
    </row>
    <row r="144" spans="1:6">
      <c r="A144" t="str">
        <f>"T475-56"</f>
        <v>T475-56</v>
      </c>
      <c r="B144" t="str">
        <f t="shared" si="10"/>
        <v>COMUNAGLIE DI VOLTRI</v>
      </c>
      <c r="C144" t="str">
        <f t="shared" si="11"/>
        <v>2</v>
      </c>
      <c r="D144">
        <v>2</v>
      </c>
      <c r="E144" t="str">
        <f>"2"</f>
        <v>2</v>
      </c>
      <c r="F144" t="str">
        <f t="shared" si="12"/>
        <v>0000</v>
      </c>
    </row>
    <row r="145" spans="1:6">
      <c r="A145" t="str">
        <f>"T475-57"</f>
        <v>T475-57</v>
      </c>
      <c r="B145" t="str">
        <f t="shared" si="10"/>
        <v>COMUNAGLIE DI VOLTRI</v>
      </c>
      <c r="C145" t="str">
        <f t="shared" si="11"/>
        <v>2</v>
      </c>
      <c r="D145">
        <v>2</v>
      </c>
      <c r="E145" t="str">
        <f>"3"</f>
        <v>3</v>
      </c>
      <c r="F145" t="str">
        <f t="shared" si="12"/>
        <v>0000</v>
      </c>
    </row>
    <row r="146" spans="1:6">
      <c r="A146" t="str">
        <f>"T475-58"</f>
        <v>T475-58</v>
      </c>
      <c r="B146" t="str">
        <f t="shared" si="10"/>
        <v>COMUNAGLIE DI VOLTRI</v>
      </c>
      <c r="C146" t="str">
        <f t="shared" si="11"/>
        <v>2</v>
      </c>
      <c r="D146">
        <v>2</v>
      </c>
      <c r="E146" t="str">
        <f>"4"</f>
        <v>4</v>
      </c>
      <c r="F146" t="str">
        <f t="shared" si="12"/>
        <v>0000</v>
      </c>
    </row>
    <row r="147" spans="1:6">
      <c r="A147" t="str">
        <f>"T475-59"</f>
        <v>T475-59</v>
      </c>
      <c r="B147" t="str">
        <f t="shared" si="10"/>
        <v>COMUNAGLIE DI VOLTRI</v>
      </c>
      <c r="C147" t="str">
        <f t="shared" si="11"/>
        <v>2</v>
      </c>
      <c r="D147">
        <v>2</v>
      </c>
      <c r="E147" t="str">
        <f>"5"</f>
        <v>5</v>
      </c>
      <c r="F147" t="str">
        <f t="shared" si="12"/>
        <v>0000</v>
      </c>
    </row>
    <row r="148" spans="1:6">
      <c r="A148" t="str">
        <f>"T475-60"</f>
        <v>T475-60</v>
      </c>
      <c r="B148" t="str">
        <f t="shared" si="10"/>
        <v>COMUNAGLIE DI VOLTRI</v>
      </c>
      <c r="C148" t="str">
        <f t="shared" si="11"/>
        <v>2</v>
      </c>
      <c r="D148">
        <v>2</v>
      </c>
      <c r="E148" t="str">
        <f>"6"</f>
        <v>6</v>
      </c>
      <c r="F148" t="str">
        <f t="shared" si="12"/>
        <v>0000</v>
      </c>
    </row>
    <row r="149" spans="1:6">
      <c r="A149" t="str">
        <f>"T475-61"</f>
        <v>T475-61</v>
      </c>
      <c r="B149" t="str">
        <f t="shared" si="10"/>
        <v>COMUNAGLIE DI VOLTRI</v>
      </c>
      <c r="C149" t="str">
        <f t="shared" si="11"/>
        <v>2</v>
      </c>
      <c r="D149">
        <v>2</v>
      </c>
      <c r="E149" t="str">
        <f>"7"</f>
        <v>7</v>
      </c>
      <c r="F149" t="str">
        <f t="shared" si="12"/>
        <v>0000</v>
      </c>
    </row>
    <row r="150" spans="1:6">
      <c r="A150" t="str">
        <f>"T475-62"</f>
        <v>T475-62</v>
      </c>
      <c r="B150" t="str">
        <f t="shared" si="10"/>
        <v>COMUNAGLIE DI VOLTRI</v>
      </c>
      <c r="C150" t="str">
        <f t="shared" si="11"/>
        <v>2</v>
      </c>
      <c r="D150">
        <v>2</v>
      </c>
      <c r="E150" t="str">
        <f>"8"</f>
        <v>8</v>
      </c>
      <c r="F150" t="str">
        <f t="shared" si="12"/>
        <v>0000</v>
      </c>
    </row>
    <row r="151" spans="1:6">
      <c r="A151" t="str">
        <f>"T475-63"</f>
        <v>T475-63</v>
      </c>
      <c r="B151" t="str">
        <f t="shared" si="10"/>
        <v>COMUNAGLIE DI VOLTRI</v>
      </c>
      <c r="C151" t="str">
        <f t="shared" si="11"/>
        <v>2</v>
      </c>
      <c r="D151">
        <v>2</v>
      </c>
      <c r="E151" t="str">
        <f>"9"</f>
        <v>9</v>
      </c>
      <c r="F151" t="str">
        <f t="shared" si="12"/>
        <v>0000</v>
      </c>
    </row>
    <row r="152" spans="1:6">
      <c r="A152" t="str">
        <f>"T475-64"</f>
        <v>T475-64</v>
      </c>
      <c r="B152" t="str">
        <f t="shared" si="10"/>
        <v>COMUNAGLIE DI VOLTRI</v>
      </c>
      <c r="C152" t="str">
        <f t="shared" si="11"/>
        <v>2</v>
      </c>
      <c r="D152">
        <v>2</v>
      </c>
      <c r="E152" t="str">
        <f>"10"</f>
        <v>10</v>
      </c>
      <c r="F152" t="str">
        <f t="shared" si="12"/>
        <v>0000</v>
      </c>
    </row>
    <row r="153" spans="1:6">
      <c r="A153" t="str">
        <f>"T475-65"</f>
        <v>T475-65</v>
      </c>
      <c r="B153" t="str">
        <f t="shared" ref="B153:B216" si="13">"COMUNAGLIE DI VOLTRI"</f>
        <v>COMUNAGLIE DI VOLTRI</v>
      </c>
      <c r="C153" t="str">
        <f t="shared" ref="C153:C216" si="14">"2"</f>
        <v>2</v>
      </c>
      <c r="D153">
        <v>2</v>
      </c>
      <c r="E153" t="str">
        <f>"11"</f>
        <v>11</v>
      </c>
      <c r="F153" t="str">
        <f t="shared" si="12"/>
        <v>0000</v>
      </c>
    </row>
    <row r="154" spans="1:6">
      <c r="A154" t="str">
        <f>"T475-66"</f>
        <v>T475-66</v>
      </c>
      <c r="B154" t="str">
        <f t="shared" si="13"/>
        <v>COMUNAGLIE DI VOLTRI</v>
      </c>
      <c r="C154" t="str">
        <f t="shared" si="14"/>
        <v>2</v>
      </c>
      <c r="D154">
        <v>2</v>
      </c>
      <c r="E154" t="str">
        <f>"12"</f>
        <v>12</v>
      </c>
      <c r="F154" t="str">
        <f t="shared" si="12"/>
        <v>0000</v>
      </c>
    </row>
    <row r="155" spans="1:6">
      <c r="A155" t="str">
        <f>"T475-67"</f>
        <v>T475-67</v>
      </c>
      <c r="B155" t="str">
        <f t="shared" si="13"/>
        <v>COMUNAGLIE DI VOLTRI</v>
      </c>
      <c r="C155" t="str">
        <f t="shared" si="14"/>
        <v>2</v>
      </c>
      <c r="D155">
        <v>2</v>
      </c>
      <c r="E155" t="str">
        <f>"13"</f>
        <v>13</v>
      </c>
      <c r="F155" t="str">
        <f t="shared" si="12"/>
        <v>0000</v>
      </c>
    </row>
    <row r="156" spans="1:6">
      <c r="A156" t="str">
        <f>"T475-68"</f>
        <v>T475-68</v>
      </c>
      <c r="B156" t="str">
        <f t="shared" si="13"/>
        <v>COMUNAGLIE DI VOLTRI</v>
      </c>
      <c r="C156" t="str">
        <f t="shared" si="14"/>
        <v>2</v>
      </c>
      <c r="D156">
        <v>2</v>
      </c>
      <c r="E156" t="str">
        <f>"14"</f>
        <v>14</v>
      </c>
      <c r="F156" t="str">
        <f t="shared" si="12"/>
        <v>0000</v>
      </c>
    </row>
    <row r="157" spans="1:6">
      <c r="A157" t="str">
        <f>"T475-69"</f>
        <v>T475-69</v>
      </c>
      <c r="B157" t="str">
        <f t="shared" si="13"/>
        <v>COMUNAGLIE DI VOLTRI</v>
      </c>
      <c r="C157" t="str">
        <f t="shared" si="14"/>
        <v>2</v>
      </c>
      <c r="D157">
        <v>2</v>
      </c>
      <c r="E157" t="str">
        <f>"15"</f>
        <v>15</v>
      </c>
      <c r="F157" t="str">
        <f t="shared" si="12"/>
        <v>0000</v>
      </c>
    </row>
    <row r="158" spans="1:6">
      <c r="A158" t="str">
        <f>"T475-70"</f>
        <v>T475-70</v>
      </c>
      <c r="B158" t="str">
        <f t="shared" si="13"/>
        <v>COMUNAGLIE DI VOLTRI</v>
      </c>
      <c r="C158" t="str">
        <f t="shared" si="14"/>
        <v>2</v>
      </c>
      <c r="D158">
        <v>2</v>
      </c>
      <c r="E158" t="str">
        <f>"16"</f>
        <v>16</v>
      </c>
      <c r="F158" t="str">
        <f t="shared" si="12"/>
        <v>0000</v>
      </c>
    </row>
    <row r="159" spans="1:6">
      <c r="A159" t="str">
        <f>"T475-71"</f>
        <v>T475-71</v>
      </c>
      <c r="B159" t="str">
        <f t="shared" si="13"/>
        <v>COMUNAGLIE DI VOLTRI</v>
      </c>
      <c r="C159" t="str">
        <f t="shared" si="14"/>
        <v>2</v>
      </c>
      <c r="D159">
        <v>2</v>
      </c>
      <c r="E159" t="str">
        <f>"17"</f>
        <v>17</v>
      </c>
      <c r="F159" t="str">
        <f t="shared" si="12"/>
        <v>0000</v>
      </c>
    </row>
    <row r="160" spans="1:6">
      <c r="A160" t="str">
        <f>"T475-72"</f>
        <v>T475-72</v>
      </c>
      <c r="B160" t="str">
        <f t="shared" si="13"/>
        <v>COMUNAGLIE DI VOLTRI</v>
      </c>
      <c r="C160" t="str">
        <f t="shared" si="14"/>
        <v>2</v>
      </c>
      <c r="D160">
        <v>2</v>
      </c>
      <c r="E160" t="str">
        <f>"18"</f>
        <v>18</v>
      </c>
      <c r="F160" t="str">
        <f t="shared" si="12"/>
        <v>0000</v>
      </c>
    </row>
    <row r="161" spans="1:6">
      <c r="A161" t="str">
        <f>"T475-73"</f>
        <v>T475-73</v>
      </c>
      <c r="B161" t="str">
        <f t="shared" si="13"/>
        <v>COMUNAGLIE DI VOLTRI</v>
      </c>
      <c r="C161" t="str">
        <f t="shared" si="14"/>
        <v>2</v>
      </c>
      <c r="D161">
        <v>2</v>
      </c>
      <c r="E161" t="str">
        <f>"28"</f>
        <v>28</v>
      </c>
      <c r="F161" t="str">
        <f t="shared" si="12"/>
        <v>0000</v>
      </c>
    </row>
    <row r="162" spans="1:6">
      <c r="A162" t="str">
        <f>"T475-74"</f>
        <v>T475-74</v>
      </c>
      <c r="B162" t="str">
        <f t="shared" si="13"/>
        <v>COMUNAGLIE DI VOLTRI</v>
      </c>
      <c r="C162" t="str">
        <f t="shared" si="14"/>
        <v>2</v>
      </c>
      <c r="D162">
        <v>2</v>
      </c>
      <c r="E162" t="str">
        <f>"35"</f>
        <v>35</v>
      </c>
      <c r="F162" t="str">
        <f t="shared" si="12"/>
        <v>0000</v>
      </c>
    </row>
    <row r="163" spans="1:6">
      <c r="A163" t="str">
        <f>"T475-75"</f>
        <v>T475-75</v>
      </c>
      <c r="B163" t="str">
        <f t="shared" si="13"/>
        <v>COMUNAGLIE DI VOLTRI</v>
      </c>
      <c r="C163" t="str">
        <f t="shared" si="14"/>
        <v>2</v>
      </c>
      <c r="D163">
        <v>2</v>
      </c>
      <c r="E163" t="str">
        <f>"36"</f>
        <v>36</v>
      </c>
      <c r="F163" t="str">
        <f t="shared" si="12"/>
        <v>0000</v>
      </c>
    </row>
    <row r="164" spans="1:6">
      <c r="A164" t="str">
        <f>"T475-76"</f>
        <v>T475-76</v>
      </c>
      <c r="B164" t="str">
        <f t="shared" si="13"/>
        <v>COMUNAGLIE DI VOLTRI</v>
      </c>
      <c r="C164" t="str">
        <f t="shared" si="14"/>
        <v>2</v>
      </c>
      <c r="D164">
        <v>2</v>
      </c>
      <c r="E164" t="str">
        <f>"37"</f>
        <v>37</v>
      </c>
      <c r="F164" t="str">
        <f t="shared" si="12"/>
        <v>0000</v>
      </c>
    </row>
    <row r="165" spans="1:6">
      <c r="A165" t="str">
        <f>"T475-77"</f>
        <v>T475-77</v>
      </c>
      <c r="B165" t="str">
        <f t="shared" si="13"/>
        <v>COMUNAGLIE DI VOLTRI</v>
      </c>
      <c r="C165" t="str">
        <f t="shared" si="14"/>
        <v>2</v>
      </c>
      <c r="D165">
        <v>2</v>
      </c>
      <c r="E165" t="str">
        <f>"38"</f>
        <v>38</v>
      </c>
      <c r="F165" t="str">
        <f t="shared" si="12"/>
        <v>0000</v>
      </c>
    </row>
    <row r="166" spans="1:6">
      <c r="A166" t="str">
        <f>"T475-78"</f>
        <v>T475-78</v>
      </c>
      <c r="B166" t="str">
        <f t="shared" si="13"/>
        <v>COMUNAGLIE DI VOLTRI</v>
      </c>
      <c r="C166" t="str">
        <f t="shared" si="14"/>
        <v>2</v>
      </c>
      <c r="D166">
        <v>2</v>
      </c>
      <c r="E166" t="str">
        <f>"39"</f>
        <v>39</v>
      </c>
      <c r="F166" t="str">
        <f t="shared" si="12"/>
        <v>0000</v>
      </c>
    </row>
    <row r="167" spans="1:6">
      <c r="A167" t="str">
        <f>"T475-79"</f>
        <v>T475-79</v>
      </c>
      <c r="B167" t="str">
        <f t="shared" si="13"/>
        <v>COMUNAGLIE DI VOLTRI</v>
      </c>
      <c r="C167" t="str">
        <f t="shared" si="14"/>
        <v>2</v>
      </c>
      <c r="D167">
        <v>2</v>
      </c>
      <c r="E167" t="str">
        <f>"50"</f>
        <v>50</v>
      </c>
      <c r="F167" t="str">
        <f t="shared" si="12"/>
        <v>0000</v>
      </c>
    </row>
    <row r="168" spans="1:6">
      <c r="A168" t="str">
        <f>"T475-80"</f>
        <v>T475-80</v>
      </c>
      <c r="B168" t="str">
        <f t="shared" si="13"/>
        <v>COMUNAGLIE DI VOLTRI</v>
      </c>
      <c r="C168" t="str">
        <f t="shared" si="14"/>
        <v>2</v>
      </c>
      <c r="D168">
        <v>2</v>
      </c>
      <c r="E168" t="str">
        <f>"51"</f>
        <v>51</v>
      </c>
      <c r="F168" t="str">
        <f t="shared" si="12"/>
        <v>0000</v>
      </c>
    </row>
    <row r="169" spans="1:6">
      <c r="A169" t="str">
        <f>"T475-81"</f>
        <v>T475-81</v>
      </c>
      <c r="B169" t="str">
        <f t="shared" si="13"/>
        <v>COMUNAGLIE DI VOLTRI</v>
      </c>
      <c r="C169" t="str">
        <f t="shared" si="14"/>
        <v>2</v>
      </c>
      <c r="D169">
        <v>2</v>
      </c>
      <c r="E169" t="str">
        <f>"52"</f>
        <v>52</v>
      </c>
      <c r="F169" t="str">
        <f t="shared" si="12"/>
        <v>0000</v>
      </c>
    </row>
    <row r="170" spans="1:6">
      <c r="A170" t="str">
        <f>"T475-82"</f>
        <v>T475-82</v>
      </c>
      <c r="B170" t="str">
        <f t="shared" si="13"/>
        <v>COMUNAGLIE DI VOLTRI</v>
      </c>
      <c r="C170" t="str">
        <f t="shared" si="14"/>
        <v>2</v>
      </c>
      <c r="D170">
        <v>2</v>
      </c>
      <c r="E170" t="str">
        <f>"53"</f>
        <v>53</v>
      </c>
      <c r="F170" t="str">
        <f t="shared" si="12"/>
        <v>0000</v>
      </c>
    </row>
    <row r="171" spans="1:6">
      <c r="A171" t="str">
        <f>"T475-83"</f>
        <v>T475-83</v>
      </c>
      <c r="B171" t="str">
        <f t="shared" si="13"/>
        <v>COMUNAGLIE DI VOLTRI</v>
      </c>
      <c r="C171" t="str">
        <f t="shared" si="14"/>
        <v>2</v>
      </c>
      <c r="D171">
        <v>2</v>
      </c>
      <c r="E171" t="str">
        <f>"54"</f>
        <v>54</v>
      </c>
      <c r="F171" t="str">
        <f t="shared" si="12"/>
        <v>0000</v>
      </c>
    </row>
    <row r="172" spans="1:6">
      <c r="A172" t="str">
        <f>"T475-84"</f>
        <v>T475-84</v>
      </c>
      <c r="B172" t="str">
        <f t="shared" si="13"/>
        <v>COMUNAGLIE DI VOLTRI</v>
      </c>
      <c r="C172" t="str">
        <f t="shared" si="14"/>
        <v>2</v>
      </c>
      <c r="D172">
        <v>2</v>
      </c>
      <c r="E172" t="str">
        <f>"55"</f>
        <v>55</v>
      </c>
      <c r="F172" t="str">
        <f t="shared" si="12"/>
        <v>0000</v>
      </c>
    </row>
    <row r="173" spans="1:6">
      <c r="A173" t="str">
        <f>"T475-85"</f>
        <v>T475-85</v>
      </c>
      <c r="B173" t="str">
        <f t="shared" si="13"/>
        <v>COMUNAGLIE DI VOLTRI</v>
      </c>
      <c r="C173" t="str">
        <f t="shared" si="14"/>
        <v>2</v>
      </c>
      <c r="D173">
        <v>2</v>
      </c>
      <c r="E173" t="str">
        <f>"56"</f>
        <v>56</v>
      </c>
      <c r="F173" t="str">
        <f t="shared" si="12"/>
        <v>0000</v>
      </c>
    </row>
    <row r="174" spans="1:6">
      <c r="A174" t="str">
        <f>"T475-86"</f>
        <v>T475-86</v>
      </c>
      <c r="B174" t="str">
        <f t="shared" si="13"/>
        <v>COMUNAGLIE DI VOLTRI</v>
      </c>
      <c r="C174" t="str">
        <f t="shared" si="14"/>
        <v>2</v>
      </c>
      <c r="D174">
        <v>2</v>
      </c>
      <c r="E174" t="str">
        <f>"57"</f>
        <v>57</v>
      </c>
      <c r="F174" t="str">
        <f t="shared" si="12"/>
        <v>0000</v>
      </c>
    </row>
    <row r="175" spans="1:6">
      <c r="A175" t="str">
        <f>"T475-87"</f>
        <v>T475-87</v>
      </c>
      <c r="B175" t="str">
        <f t="shared" si="13"/>
        <v>COMUNAGLIE DI VOLTRI</v>
      </c>
      <c r="C175" t="str">
        <f t="shared" si="14"/>
        <v>2</v>
      </c>
      <c r="D175">
        <v>2</v>
      </c>
      <c r="E175" t="str">
        <f>"58"</f>
        <v>58</v>
      </c>
      <c r="F175" t="str">
        <f t="shared" si="12"/>
        <v>0000</v>
      </c>
    </row>
    <row r="176" spans="1:6">
      <c r="A176" t="str">
        <f>"T475-88"</f>
        <v>T475-88</v>
      </c>
      <c r="B176" t="str">
        <f t="shared" si="13"/>
        <v>COMUNAGLIE DI VOLTRI</v>
      </c>
      <c r="C176" t="str">
        <f t="shared" si="14"/>
        <v>2</v>
      </c>
      <c r="D176">
        <v>2</v>
      </c>
      <c r="E176" t="str">
        <f>"59"</f>
        <v>59</v>
      </c>
      <c r="F176" t="str">
        <f t="shared" si="12"/>
        <v>0000</v>
      </c>
    </row>
    <row r="177" spans="1:6">
      <c r="A177" t="str">
        <f>"T475-89"</f>
        <v>T475-89</v>
      </c>
      <c r="B177" t="str">
        <f t="shared" si="13"/>
        <v>COMUNAGLIE DI VOLTRI</v>
      </c>
      <c r="C177" t="str">
        <f t="shared" si="14"/>
        <v>2</v>
      </c>
      <c r="D177">
        <v>2</v>
      </c>
      <c r="E177" t="str">
        <f>"60"</f>
        <v>60</v>
      </c>
      <c r="F177" t="str">
        <f t="shared" si="12"/>
        <v>0000</v>
      </c>
    </row>
    <row r="178" spans="1:6">
      <c r="A178" t="str">
        <f>"T475-90"</f>
        <v>T475-90</v>
      </c>
      <c r="B178" t="str">
        <f t="shared" si="13"/>
        <v>COMUNAGLIE DI VOLTRI</v>
      </c>
      <c r="C178" t="str">
        <f t="shared" si="14"/>
        <v>2</v>
      </c>
      <c r="D178">
        <v>2</v>
      </c>
      <c r="E178" t="str">
        <f>"61"</f>
        <v>61</v>
      </c>
      <c r="F178" t="str">
        <f t="shared" si="12"/>
        <v>0000</v>
      </c>
    </row>
    <row r="179" spans="1:6">
      <c r="A179" t="str">
        <f>"T475-91"</f>
        <v>T475-91</v>
      </c>
      <c r="B179" t="str">
        <f t="shared" si="13"/>
        <v>COMUNAGLIE DI VOLTRI</v>
      </c>
      <c r="C179" t="str">
        <f t="shared" si="14"/>
        <v>2</v>
      </c>
      <c r="D179">
        <v>2</v>
      </c>
      <c r="E179" t="str">
        <f>"62"</f>
        <v>62</v>
      </c>
      <c r="F179" t="str">
        <f t="shared" si="12"/>
        <v>0000</v>
      </c>
    </row>
    <row r="180" spans="1:6">
      <c r="A180" t="str">
        <f>"T475-92"</f>
        <v>T475-92</v>
      </c>
      <c r="B180" t="str">
        <f t="shared" si="13"/>
        <v>COMUNAGLIE DI VOLTRI</v>
      </c>
      <c r="C180" t="str">
        <f t="shared" si="14"/>
        <v>2</v>
      </c>
      <c r="D180">
        <v>2</v>
      </c>
      <c r="E180" t="str">
        <f>"63"</f>
        <v>63</v>
      </c>
      <c r="F180" t="str">
        <f t="shared" si="12"/>
        <v>0000</v>
      </c>
    </row>
    <row r="181" spans="1:6">
      <c r="A181" t="str">
        <f>"T475-93"</f>
        <v>T475-93</v>
      </c>
      <c r="B181" t="str">
        <f t="shared" si="13"/>
        <v>COMUNAGLIE DI VOLTRI</v>
      </c>
      <c r="C181" t="str">
        <f t="shared" si="14"/>
        <v>2</v>
      </c>
      <c r="D181">
        <v>2</v>
      </c>
      <c r="E181" t="str">
        <f>"64"</f>
        <v>64</v>
      </c>
      <c r="F181" t="str">
        <f t="shared" si="12"/>
        <v>0000</v>
      </c>
    </row>
    <row r="182" spans="1:6">
      <c r="A182" t="str">
        <f>"T475-94"</f>
        <v>T475-94</v>
      </c>
      <c r="B182" t="str">
        <f t="shared" si="13"/>
        <v>COMUNAGLIE DI VOLTRI</v>
      </c>
      <c r="C182" t="str">
        <f t="shared" si="14"/>
        <v>2</v>
      </c>
      <c r="D182">
        <v>2</v>
      </c>
      <c r="E182" t="str">
        <f>"65"</f>
        <v>65</v>
      </c>
      <c r="F182" t="str">
        <f t="shared" si="12"/>
        <v>0000</v>
      </c>
    </row>
    <row r="183" spans="1:6">
      <c r="A183" t="str">
        <f>"T475-95"</f>
        <v>T475-95</v>
      </c>
      <c r="B183" t="str">
        <f t="shared" si="13"/>
        <v>COMUNAGLIE DI VOLTRI</v>
      </c>
      <c r="C183" t="str">
        <f t="shared" si="14"/>
        <v>2</v>
      </c>
      <c r="D183">
        <v>2</v>
      </c>
      <c r="E183" t="str">
        <f>"66"</f>
        <v>66</v>
      </c>
      <c r="F183" t="str">
        <f t="shared" si="12"/>
        <v>0000</v>
      </c>
    </row>
    <row r="184" spans="1:6">
      <c r="A184" t="str">
        <f>"T475-96"</f>
        <v>T475-96</v>
      </c>
      <c r="B184" t="str">
        <f t="shared" si="13"/>
        <v>COMUNAGLIE DI VOLTRI</v>
      </c>
      <c r="C184" t="str">
        <f t="shared" si="14"/>
        <v>2</v>
      </c>
      <c r="D184">
        <v>2</v>
      </c>
      <c r="E184" t="str">
        <f>"67"</f>
        <v>67</v>
      </c>
      <c r="F184" t="str">
        <f t="shared" si="12"/>
        <v>0000</v>
      </c>
    </row>
    <row r="185" spans="1:6">
      <c r="A185" t="str">
        <f>"T475-97"</f>
        <v>T475-97</v>
      </c>
      <c r="B185" t="str">
        <f t="shared" si="13"/>
        <v>COMUNAGLIE DI VOLTRI</v>
      </c>
      <c r="C185" t="str">
        <f t="shared" si="14"/>
        <v>2</v>
      </c>
      <c r="D185">
        <v>2</v>
      </c>
      <c r="E185" t="str">
        <f>"68"</f>
        <v>68</v>
      </c>
      <c r="F185" t="str">
        <f t="shared" si="12"/>
        <v>0000</v>
      </c>
    </row>
    <row r="186" spans="1:6">
      <c r="A186" t="str">
        <f>"T475-98"</f>
        <v>T475-98</v>
      </c>
      <c r="B186" t="str">
        <f t="shared" si="13"/>
        <v>COMUNAGLIE DI VOLTRI</v>
      </c>
      <c r="C186" t="str">
        <f t="shared" si="14"/>
        <v>2</v>
      </c>
      <c r="D186">
        <v>2</v>
      </c>
      <c r="E186" t="str">
        <f>"69"</f>
        <v>69</v>
      </c>
      <c r="F186" t="str">
        <f t="shared" si="12"/>
        <v>0000</v>
      </c>
    </row>
    <row r="187" spans="1:6">
      <c r="A187" t="str">
        <f>"T475-99"</f>
        <v>T475-99</v>
      </c>
      <c r="B187" t="str">
        <f t="shared" si="13"/>
        <v>COMUNAGLIE DI VOLTRI</v>
      </c>
      <c r="C187" t="str">
        <f t="shared" si="14"/>
        <v>2</v>
      </c>
      <c r="D187">
        <v>2</v>
      </c>
      <c r="E187" t="str">
        <f>"70"</f>
        <v>70</v>
      </c>
      <c r="F187" t="str">
        <f t="shared" si="12"/>
        <v>0000</v>
      </c>
    </row>
    <row r="188" spans="1:6">
      <c r="A188" t="str">
        <f>"T475-100"</f>
        <v>T475-100</v>
      </c>
      <c r="B188" t="str">
        <f t="shared" si="13"/>
        <v>COMUNAGLIE DI VOLTRI</v>
      </c>
      <c r="C188" t="str">
        <f t="shared" si="14"/>
        <v>2</v>
      </c>
      <c r="D188">
        <v>2</v>
      </c>
      <c r="E188" t="str">
        <f>"71"</f>
        <v>71</v>
      </c>
      <c r="F188" t="str">
        <f t="shared" si="12"/>
        <v>0000</v>
      </c>
    </row>
    <row r="189" spans="1:6">
      <c r="A189" t="str">
        <f>"T475-101"</f>
        <v>T475-101</v>
      </c>
      <c r="B189" t="str">
        <f t="shared" si="13"/>
        <v>COMUNAGLIE DI VOLTRI</v>
      </c>
      <c r="C189" t="str">
        <f t="shared" si="14"/>
        <v>2</v>
      </c>
      <c r="D189">
        <v>2</v>
      </c>
      <c r="E189" t="str">
        <f>"72"</f>
        <v>72</v>
      </c>
      <c r="F189" t="str">
        <f t="shared" si="12"/>
        <v>0000</v>
      </c>
    </row>
    <row r="190" spans="1:6">
      <c r="A190" t="str">
        <f>"T475-102"</f>
        <v>T475-102</v>
      </c>
      <c r="B190" t="str">
        <f t="shared" si="13"/>
        <v>COMUNAGLIE DI VOLTRI</v>
      </c>
      <c r="C190" t="str">
        <f t="shared" si="14"/>
        <v>2</v>
      </c>
      <c r="D190">
        <v>2</v>
      </c>
      <c r="E190" t="str">
        <f>"73"</f>
        <v>73</v>
      </c>
      <c r="F190" t="str">
        <f t="shared" si="12"/>
        <v>0000</v>
      </c>
    </row>
    <row r="191" spans="1:6">
      <c r="A191" t="str">
        <f>"T475-103"</f>
        <v>T475-103</v>
      </c>
      <c r="B191" t="str">
        <f t="shared" si="13"/>
        <v>COMUNAGLIE DI VOLTRI</v>
      </c>
      <c r="C191" t="str">
        <f t="shared" si="14"/>
        <v>2</v>
      </c>
      <c r="D191">
        <v>2</v>
      </c>
      <c r="E191" t="str">
        <f>"74"</f>
        <v>74</v>
      </c>
      <c r="F191" t="str">
        <f t="shared" si="12"/>
        <v>0000</v>
      </c>
    </row>
    <row r="192" spans="1:6">
      <c r="A192" t="str">
        <f>"T475-104"</f>
        <v>T475-104</v>
      </c>
      <c r="B192" t="str">
        <f t="shared" si="13"/>
        <v>COMUNAGLIE DI VOLTRI</v>
      </c>
      <c r="C192" t="str">
        <f t="shared" si="14"/>
        <v>2</v>
      </c>
      <c r="D192">
        <v>2</v>
      </c>
      <c r="E192" t="str">
        <f>"75"</f>
        <v>75</v>
      </c>
      <c r="F192" t="str">
        <f t="shared" si="12"/>
        <v>0000</v>
      </c>
    </row>
    <row r="193" spans="1:6">
      <c r="A193" t="str">
        <f>"T475-105"</f>
        <v>T475-105</v>
      </c>
      <c r="B193" t="str">
        <f t="shared" si="13"/>
        <v>COMUNAGLIE DI VOLTRI</v>
      </c>
      <c r="C193" t="str">
        <f t="shared" si="14"/>
        <v>2</v>
      </c>
      <c r="D193">
        <v>2</v>
      </c>
      <c r="E193" t="str">
        <f>"76"</f>
        <v>76</v>
      </c>
      <c r="F193" t="str">
        <f t="shared" si="12"/>
        <v>0000</v>
      </c>
    </row>
    <row r="194" spans="1:6">
      <c r="A194" t="str">
        <f>"T475-106"</f>
        <v>T475-106</v>
      </c>
      <c r="B194" t="str">
        <f t="shared" si="13"/>
        <v>COMUNAGLIE DI VOLTRI</v>
      </c>
      <c r="C194" t="str">
        <f t="shared" si="14"/>
        <v>2</v>
      </c>
      <c r="D194">
        <v>2</v>
      </c>
      <c r="E194" t="str">
        <f>"77"</f>
        <v>77</v>
      </c>
      <c r="F194" t="str">
        <f t="shared" ref="F194:F257" si="15">"0000"</f>
        <v>0000</v>
      </c>
    </row>
    <row r="195" spans="1:6">
      <c r="A195" t="str">
        <f>"T475-107"</f>
        <v>T475-107</v>
      </c>
      <c r="B195" t="str">
        <f t="shared" si="13"/>
        <v>COMUNAGLIE DI VOLTRI</v>
      </c>
      <c r="C195" t="str">
        <f t="shared" si="14"/>
        <v>2</v>
      </c>
      <c r="D195">
        <v>2</v>
      </c>
      <c r="E195" t="str">
        <f>"78"</f>
        <v>78</v>
      </c>
      <c r="F195" t="str">
        <f t="shared" si="15"/>
        <v>0000</v>
      </c>
    </row>
    <row r="196" spans="1:6">
      <c r="A196" t="str">
        <f>"T475-108"</f>
        <v>T475-108</v>
      </c>
      <c r="B196" t="str">
        <f t="shared" si="13"/>
        <v>COMUNAGLIE DI VOLTRI</v>
      </c>
      <c r="C196" t="str">
        <f t="shared" si="14"/>
        <v>2</v>
      </c>
      <c r="D196">
        <v>2</v>
      </c>
      <c r="E196" t="str">
        <f>"79"</f>
        <v>79</v>
      </c>
      <c r="F196" t="str">
        <f t="shared" si="15"/>
        <v>0000</v>
      </c>
    </row>
    <row r="197" spans="1:6">
      <c r="A197" t="str">
        <f>"T475-109"</f>
        <v>T475-109</v>
      </c>
      <c r="B197" t="str">
        <f t="shared" si="13"/>
        <v>COMUNAGLIE DI VOLTRI</v>
      </c>
      <c r="C197" t="str">
        <f t="shared" si="14"/>
        <v>2</v>
      </c>
      <c r="D197">
        <v>2</v>
      </c>
      <c r="E197" t="str">
        <f>"80"</f>
        <v>80</v>
      </c>
      <c r="F197" t="str">
        <f t="shared" si="15"/>
        <v>0000</v>
      </c>
    </row>
    <row r="198" spans="1:6">
      <c r="A198" t="str">
        <f>"T475-110"</f>
        <v>T475-110</v>
      </c>
      <c r="B198" t="str">
        <f t="shared" si="13"/>
        <v>COMUNAGLIE DI VOLTRI</v>
      </c>
      <c r="C198" t="str">
        <f t="shared" si="14"/>
        <v>2</v>
      </c>
      <c r="D198">
        <v>2</v>
      </c>
      <c r="E198" t="str">
        <f>"81"</f>
        <v>81</v>
      </c>
      <c r="F198" t="str">
        <f t="shared" si="15"/>
        <v>0000</v>
      </c>
    </row>
    <row r="199" spans="1:6">
      <c r="A199" t="str">
        <f>"T475-111"</f>
        <v>T475-111</v>
      </c>
      <c r="B199" t="str">
        <f t="shared" si="13"/>
        <v>COMUNAGLIE DI VOLTRI</v>
      </c>
      <c r="C199" t="str">
        <f t="shared" si="14"/>
        <v>2</v>
      </c>
      <c r="D199">
        <v>2</v>
      </c>
      <c r="E199" t="str">
        <f>"82"</f>
        <v>82</v>
      </c>
      <c r="F199" t="str">
        <f t="shared" si="15"/>
        <v>0000</v>
      </c>
    </row>
    <row r="200" spans="1:6">
      <c r="A200" t="str">
        <f>"T475-112"</f>
        <v>T475-112</v>
      </c>
      <c r="B200" t="str">
        <f t="shared" si="13"/>
        <v>COMUNAGLIE DI VOLTRI</v>
      </c>
      <c r="C200" t="str">
        <f t="shared" si="14"/>
        <v>2</v>
      </c>
      <c r="D200">
        <v>2</v>
      </c>
      <c r="E200" t="str">
        <f>"83"</f>
        <v>83</v>
      </c>
      <c r="F200" t="str">
        <f t="shared" si="15"/>
        <v>0000</v>
      </c>
    </row>
    <row r="201" spans="1:6">
      <c r="A201" t="str">
        <f>"T475-113"</f>
        <v>T475-113</v>
      </c>
      <c r="B201" t="str">
        <f t="shared" si="13"/>
        <v>COMUNAGLIE DI VOLTRI</v>
      </c>
      <c r="C201" t="str">
        <f t="shared" si="14"/>
        <v>2</v>
      </c>
      <c r="D201">
        <v>2</v>
      </c>
      <c r="E201" t="str">
        <f>"84"</f>
        <v>84</v>
      </c>
      <c r="F201" t="str">
        <f t="shared" si="15"/>
        <v>0000</v>
      </c>
    </row>
    <row r="202" spans="1:6">
      <c r="A202" t="str">
        <f>"T475-114"</f>
        <v>T475-114</v>
      </c>
      <c r="B202" t="str">
        <f t="shared" si="13"/>
        <v>COMUNAGLIE DI VOLTRI</v>
      </c>
      <c r="C202" t="str">
        <f t="shared" si="14"/>
        <v>2</v>
      </c>
      <c r="D202">
        <v>2</v>
      </c>
      <c r="E202" t="str">
        <f>"85"</f>
        <v>85</v>
      </c>
      <c r="F202" t="str">
        <f t="shared" si="15"/>
        <v>0000</v>
      </c>
    </row>
    <row r="203" spans="1:6">
      <c r="A203" t="str">
        <f>"T475-115"</f>
        <v>T475-115</v>
      </c>
      <c r="B203" t="str">
        <f t="shared" si="13"/>
        <v>COMUNAGLIE DI VOLTRI</v>
      </c>
      <c r="C203" t="str">
        <f t="shared" si="14"/>
        <v>2</v>
      </c>
      <c r="D203">
        <v>2</v>
      </c>
      <c r="E203" t="str">
        <f>"86"</f>
        <v>86</v>
      </c>
      <c r="F203" t="str">
        <f t="shared" si="15"/>
        <v>0000</v>
      </c>
    </row>
    <row r="204" spans="1:6">
      <c r="A204" t="str">
        <f>"T475-116"</f>
        <v>T475-116</v>
      </c>
      <c r="B204" t="str">
        <f t="shared" si="13"/>
        <v>COMUNAGLIE DI VOLTRI</v>
      </c>
      <c r="C204" t="str">
        <f t="shared" si="14"/>
        <v>2</v>
      </c>
      <c r="D204">
        <v>3</v>
      </c>
      <c r="E204" t="str">
        <f>"1"</f>
        <v>1</v>
      </c>
      <c r="F204" t="str">
        <f t="shared" si="15"/>
        <v>0000</v>
      </c>
    </row>
    <row r="205" spans="1:6">
      <c r="A205" t="str">
        <f>"T475-117"</f>
        <v>T475-117</v>
      </c>
      <c r="B205" t="str">
        <f t="shared" si="13"/>
        <v>COMUNAGLIE DI VOLTRI</v>
      </c>
      <c r="C205" t="str">
        <f t="shared" si="14"/>
        <v>2</v>
      </c>
      <c r="D205">
        <v>3</v>
      </c>
      <c r="E205" t="str">
        <f>"2"</f>
        <v>2</v>
      </c>
      <c r="F205" t="str">
        <f t="shared" si="15"/>
        <v>0000</v>
      </c>
    </row>
    <row r="206" spans="1:6">
      <c r="A206" t="str">
        <f>"T475-118"</f>
        <v>T475-118</v>
      </c>
      <c r="B206" t="str">
        <f t="shared" si="13"/>
        <v>COMUNAGLIE DI VOLTRI</v>
      </c>
      <c r="C206" t="str">
        <f t="shared" si="14"/>
        <v>2</v>
      </c>
      <c r="D206">
        <v>3</v>
      </c>
      <c r="E206" t="str">
        <f>"3"</f>
        <v>3</v>
      </c>
      <c r="F206" t="str">
        <f t="shared" si="15"/>
        <v>0000</v>
      </c>
    </row>
    <row r="207" spans="1:6">
      <c r="A207" t="str">
        <f>"T475-119"</f>
        <v>T475-119</v>
      </c>
      <c r="B207" t="str">
        <f t="shared" si="13"/>
        <v>COMUNAGLIE DI VOLTRI</v>
      </c>
      <c r="C207" t="str">
        <f t="shared" si="14"/>
        <v>2</v>
      </c>
      <c r="D207">
        <v>3</v>
      </c>
      <c r="E207" t="str">
        <f>"4"</f>
        <v>4</v>
      </c>
      <c r="F207" t="str">
        <f t="shared" si="15"/>
        <v>0000</v>
      </c>
    </row>
    <row r="208" spans="1:6">
      <c r="A208" t="str">
        <f>"T475-120"</f>
        <v>T475-120</v>
      </c>
      <c r="B208" t="str">
        <f t="shared" si="13"/>
        <v>COMUNAGLIE DI VOLTRI</v>
      </c>
      <c r="C208" t="str">
        <f t="shared" si="14"/>
        <v>2</v>
      </c>
      <c r="D208">
        <v>3</v>
      </c>
      <c r="E208" t="str">
        <f>"5"</f>
        <v>5</v>
      </c>
      <c r="F208" t="str">
        <f t="shared" si="15"/>
        <v>0000</v>
      </c>
    </row>
    <row r="209" spans="1:6">
      <c r="A209" t="str">
        <f>"T475-121"</f>
        <v>T475-121</v>
      </c>
      <c r="B209" t="str">
        <f t="shared" si="13"/>
        <v>COMUNAGLIE DI VOLTRI</v>
      </c>
      <c r="C209" t="str">
        <f t="shared" si="14"/>
        <v>2</v>
      </c>
      <c r="D209">
        <v>3</v>
      </c>
      <c r="E209" t="str">
        <f>"6"</f>
        <v>6</v>
      </c>
      <c r="F209" t="str">
        <f t="shared" si="15"/>
        <v>0000</v>
      </c>
    </row>
    <row r="210" spans="1:6">
      <c r="A210" t="str">
        <f>"T475-122"</f>
        <v>T475-122</v>
      </c>
      <c r="B210" t="str">
        <f t="shared" si="13"/>
        <v>COMUNAGLIE DI VOLTRI</v>
      </c>
      <c r="C210" t="str">
        <f t="shared" si="14"/>
        <v>2</v>
      </c>
      <c r="D210">
        <v>3</v>
      </c>
      <c r="E210" t="str">
        <f>"7"</f>
        <v>7</v>
      </c>
      <c r="F210" t="str">
        <f t="shared" si="15"/>
        <v>0000</v>
      </c>
    </row>
    <row r="211" spans="1:6">
      <c r="A211" t="str">
        <f>"T475-123"</f>
        <v>T475-123</v>
      </c>
      <c r="B211" t="str">
        <f t="shared" si="13"/>
        <v>COMUNAGLIE DI VOLTRI</v>
      </c>
      <c r="C211" t="str">
        <f t="shared" si="14"/>
        <v>2</v>
      </c>
      <c r="D211">
        <v>3</v>
      </c>
      <c r="E211" t="str">
        <f>"16"</f>
        <v>16</v>
      </c>
      <c r="F211" t="str">
        <f t="shared" si="15"/>
        <v>0000</v>
      </c>
    </row>
    <row r="212" spans="1:6">
      <c r="A212" t="str">
        <f>"T475-124"</f>
        <v>T475-124</v>
      </c>
      <c r="B212" t="str">
        <f t="shared" si="13"/>
        <v>COMUNAGLIE DI VOLTRI</v>
      </c>
      <c r="C212" t="str">
        <f t="shared" si="14"/>
        <v>2</v>
      </c>
      <c r="D212">
        <v>3</v>
      </c>
      <c r="E212" t="str">
        <f>"17"</f>
        <v>17</v>
      </c>
      <c r="F212" t="str">
        <f t="shared" si="15"/>
        <v>0000</v>
      </c>
    </row>
    <row r="213" spans="1:6">
      <c r="A213" t="str">
        <f>"T475-125"</f>
        <v>T475-125</v>
      </c>
      <c r="B213" t="str">
        <f t="shared" si="13"/>
        <v>COMUNAGLIE DI VOLTRI</v>
      </c>
      <c r="C213" t="str">
        <f t="shared" si="14"/>
        <v>2</v>
      </c>
      <c r="D213">
        <v>3</v>
      </c>
      <c r="E213" t="str">
        <f>"18"</f>
        <v>18</v>
      </c>
      <c r="F213" t="str">
        <f t="shared" si="15"/>
        <v>0000</v>
      </c>
    </row>
    <row r="214" spans="1:6">
      <c r="A214" t="str">
        <f>"T475-126"</f>
        <v>T475-126</v>
      </c>
      <c r="B214" t="str">
        <f t="shared" si="13"/>
        <v>COMUNAGLIE DI VOLTRI</v>
      </c>
      <c r="C214" t="str">
        <f t="shared" si="14"/>
        <v>2</v>
      </c>
      <c r="D214">
        <v>3</v>
      </c>
      <c r="E214" t="str">
        <f>"19"</f>
        <v>19</v>
      </c>
      <c r="F214" t="str">
        <f t="shared" si="15"/>
        <v>0000</v>
      </c>
    </row>
    <row r="215" spans="1:6">
      <c r="A215" t="str">
        <f>"T475-127"</f>
        <v>T475-127</v>
      </c>
      <c r="B215" t="str">
        <f t="shared" si="13"/>
        <v>COMUNAGLIE DI VOLTRI</v>
      </c>
      <c r="C215" t="str">
        <f t="shared" si="14"/>
        <v>2</v>
      </c>
      <c r="D215">
        <v>3</v>
      </c>
      <c r="E215" t="str">
        <f>"20"</f>
        <v>20</v>
      </c>
      <c r="F215" t="str">
        <f t="shared" si="15"/>
        <v>0000</v>
      </c>
    </row>
    <row r="216" spans="1:6">
      <c r="A216" t="str">
        <f>"T475-128"</f>
        <v>T475-128</v>
      </c>
      <c r="B216" t="str">
        <f t="shared" si="13"/>
        <v>COMUNAGLIE DI VOLTRI</v>
      </c>
      <c r="C216" t="str">
        <f t="shared" si="14"/>
        <v>2</v>
      </c>
      <c r="D216">
        <v>3</v>
      </c>
      <c r="E216" t="str">
        <f>"21"</f>
        <v>21</v>
      </c>
      <c r="F216" t="str">
        <f t="shared" si="15"/>
        <v>0000</v>
      </c>
    </row>
    <row r="217" spans="1:6">
      <c r="A217" t="str">
        <f>"T475-129"</f>
        <v>T475-129</v>
      </c>
      <c r="B217" t="str">
        <f t="shared" ref="B217:B280" si="16">"COMUNAGLIE DI VOLTRI"</f>
        <v>COMUNAGLIE DI VOLTRI</v>
      </c>
      <c r="C217" t="str">
        <f t="shared" ref="C217:C280" si="17">"2"</f>
        <v>2</v>
      </c>
      <c r="D217">
        <v>3</v>
      </c>
      <c r="E217" t="str">
        <f>"22"</f>
        <v>22</v>
      </c>
      <c r="F217" t="str">
        <f t="shared" si="15"/>
        <v>0000</v>
      </c>
    </row>
    <row r="218" spans="1:6">
      <c r="A218" t="str">
        <f>"T475-130"</f>
        <v>T475-130</v>
      </c>
      <c r="B218" t="str">
        <f t="shared" si="16"/>
        <v>COMUNAGLIE DI VOLTRI</v>
      </c>
      <c r="C218" t="str">
        <f t="shared" si="17"/>
        <v>2</v>
      </c>
      <c r="D218">
        <v>3</v>
      </c>
      <c r="E218" t="str">
        <f>"24"</f>
        <v>24</v>
      </c>
      <c r="F218" t="str">
        <f t="shared" si="15"/>
        <v>0000</v>
      </c>
    </row>
    <row r="219" spans="1:6">
      <c r="A219" t="str">
        <f>"T475-131"</f>
        <v>T475-131</v>
      </c>
      <c r="B219" t="str">
        <f t="shared" si="16"/>
        <v>COMUNAGLIE DI VOLTRI</v>
      </c>
      <c r="C219" t="str">
        <f t="shared" si="17"/>
        <v>2</v>
      </c>
      <c r="D219">
        <v>3</v>
      </c>
      <c r="E219" t="str">
        <f>"25"</f>
        <v>25</v>
      </c>
      <c r="F219" t="str">
        <f t="shared" si="15"/>
        <v>0000</v>
      </c>
    </row>
    <row r="220" spans="1:6">
      <c r="A220" t="str">
        <f>"T475-132"</f>
        <v>T475-132</v>
      </c>
      <c r="B220" t="str">
        <f t="shared" si="16"/>
        <v>COMUNAGLIE DI VOLTRI</v>
      </c>
      <c r="C220" t="str">
        <f t="shared" si="17"/>
        <v>2</v>
      </c>
      <c r="D220">
        <v>3</v>
      </c>
      <c r="E220" t="str">
        <f>"26"</f>
        <v>26</v>
      </c>
      <c r="F220" t="str">
        <f t="shared" si="15"/>
        <v>0000</v>
      </c>
    </row>
    <row r="221" spans="1:6">
      <c r="A221" t="str">
        <f>"T475-133"</f>
        <v>T475-133</v>
      </c>
      <c r="B221" t="str">
        <f t="shared" si="16"/>
        <v>COMUNAGLIE DI VOLTRI</v>
      </c>
      <c r="C221" t="str">
        <f t="shared" si="17"/>
        <v>2</v>
      </c>
      <c r="D221">
        <v>3</v>
      </c>
      <c r="E221" t="str">
        <f>"27"</f>
        <v>27</v>
      </c>
      <c r="F221" t="str">
        <f t="shared" si="15"/>
        <v>0000</v>
      </c>
    </row>
    <row r="222" spans="1:6">
      <c r="A222" t="str">
        <f>"T475-134"</f>
        <v>T475-134</v>
      </c>
      <c r="B222" t="str">
        <f t="shared" si="16"/>
        <v>COMUNAGLIE DI VOLTRI</v>
      </c>
      <c r="C222" t="str">
        <f t="shared" si="17"/>
        <v>2</v>
      </c>
      <c r="D222">
        <v>3</v>
      </c>
      <c r="E222" t="str">
        <f>"28"</f>
        <v>28</v>
      </c>
      <c r="F222" t="str">
        <f t="shared" si="15"/>
        <v>0000</v>
      </c>
    </row>
    <row r="223" spans="1:6">
      <c r="A223" t="str">
        <f>"T475-135"</f>
        <v>T475-135</v>
      </c>
      <c r="B223" t="str">
        <f t="shared" si="16"/>
        <v>COMUNAGLIE DI VOLTRI</v>
      </c>
      <c r="C223" t="str">
        <f t="shared" si="17"/>
        <v>2</v>
      </c>
      <c r="D223">
        <v>3</v>
      </c>
      <c r="E223" t="str">
        <f>"32"</f>
        <v>32</v>
      </c>
      <c r="F223" t="str">
        <f t="shared" si="15"/>
        <v>0000</v>
      </c>
    </row>
    <row r="224" spans="1:6">
      <c r="A224" t="str">
        <f>"T475-136"</f>
        <v>T475-136</v>
      </c>
      <c r="B224" t="str">
        <f t="shared" si="16"/>
        <v>COMUNAGLIE DI VOLTRI</v>
      </c>
      <c r="C224" t="str">
        <f t="shared" si="17"/>
        <v>2</v>
      </c>
      <c r="D224">
        <v>3</v>
      </c>
      <c r="E224" t="str">
        <f>"33"</f>
        <v>33</v>
      </c>
      <c r="F224" t="str">
        <f t="shared" si="15"/>
        <v>0000</v>
      </c>
    </row>
    <row r="225" spans="1:6">
      <c r="A225" t="str">
        <f>"T475-137"</f>
        <v>T475-137</v>
      </c>
      <c r="B225" t="str">
        <f t="shared" si="16"/>
        <v>COMUNAGLIE DI VOLTRI</v>
      </c>
      <c r="C225" t="str">
        <f t="shared" si="17"/>
        <v>2</v>
      </c>
      <c r="D225">
        <v>3</v>
      </c>
      <c r="E225" t="str">
        <f>"34"</f>
        <v>34</v>
      </c>
      <c r="F225" t="str">
        <f t="shared" si="15"/>
        <v>0000</v>
      </c>
    </row>
    <row r="226" spans="1:6">
      <c r="A226" t="str">
        <f>"T475-138"</f>
        <v>T475-138</v>
      </c>
      <c r="B226" t="str">
        <f t="shared" si="16"/>
        <v>COMUNAGLIE DI VOLTRI</v>
      </c>
      <c r="C226" t="str">
        <f t="shared" si="17"/>
        <v>2</v>
      </c>
      <c r="D226">
        <v>3</v>
      </c>
      <c r="E226" t="str">
        <f>"35"</f>
        <v>35</v>
      </c>
      <c r="F226" t="str">
        <f t="shared" si="15"/>
        <v>0000</v>
      </c>
    </row>
    <row r="227" spans="1:6">
      <c r="A227" t="str">
        <f>"T475-139"</f>
        <v>T475-139</v>
      </c>
      <c r="B227" t="str">
        <f t="shared" si="16"/>
        <v>COMUNAGLIE DI VOLTRI</v>
      </c>
      <c r="C227" t="str">
        <f t="shared" si="17"/>
        <v>2</v>
      </c>
      <c r="D227">
        <v>3</v>
      </c>
      <c r="E227" t="str">
        <f>"36"</f>
        <v>36</v>
      </c>
      <c r="F227" t="str">
        <f t="shared" si="15"/>
        <v>0000</v>
      </c>
    </row>
    <row r="228" spans="1:6">
      <c r="A228" t="str">
        <f>"T475-140"</f>
        <v>T475-140</v>
      </c>
      <c r="B228" t="str">
        <f t="shared" si="16"/>
        <v>COMUNAGLIE DI VOLTRI</v>
      </c>
      <c r="C228" t="str">
        <f t="shared" si="17"/>
        <v>2</v>
      </c>
      <c r="D228">
        <v>3</v>
      </c>
      <c r="E228" t="str">
        <f>"37"</f>
        <v>37</v>
      </c>
      <c r="F228" t="str">
        <f t="shared" si="15"/>
        <v>0000</v>
      </c>
    </row>
    <row r="229" spans="1:6">
      <c r="A229" t="str">
        <f>"T475-141"</f>
        <v>T475-141</v>
      </c>
      <c r="B229" t="str">
        <f t="shared" si="16"/>
        <v>COMUNAGLIE DI VOLTRI</v>
      </c>
      <c r="C229" t="str">
        <f t="shared" si="17"/>
        <v>2</v>
      </c>
      <c r="D229">
        <v>3</v>
      </c>
      <c r="E229" t="str">
        <f>"38"</f>
        <v>38</v>
      </c>
      <c r="F229" t="str">
        <f t="shared" si="15"/>
        <v>0000</v>
      </c>
    </row>
    <row r="230" spans="1:6">
      <c r="A230" t="str">
        <f>"T475-142"</f>
        <v>T475-142</v>
      </c>
      <c r="B230" t="str">
        <f t="shared" si="16"/>
        <v>COMUNAGLIE DI VOLTRI</v>
      </c>
      <c r="C230" t="str">
        <f t="shared" si="17"/>
        <v>2</v>
      </c>
      <c r="D230">
        <v>3</v>
      </c>
      <c r="E230" t="str">
        <f>"39"</f>
        <v>39</v>
      </c>
      <c r="F230" t="str">
        <f t="shared" si="15"/>
        <v>0000</v>
      </c>
    </row>
    <row r="231" spans="1:6">
      <c r="A231" t="str">
        <f>"T475-143"</f>
        <v>T475-143</v>
      </c>
      <c r="B231" t="str">
        <f t="shared" si="16"/>
        <v>COMUNAGLIE DI VOLTRI</v>
      </c>
      <c r="C231" t="str">
        <f t="shared" si="17"/>
        <v>2</v>
      </c>
      <c r="D231">
        <v>3</v>
      </c>
      <c r="E231" t="str">
        <f>"40"</f>
        <v>40</v>
      </c>
      <c r="F231" t="str">
        <f t="shared" si="15"/>
        <v>0000</v>
      </c>
    </row>
    <row r="232" spans="1:6">
      <c r="A232" t="str">
        <f>"T475-144"</f>
        <v>T475-144</v>
      </c>
      <c r="B232" t="str">
        <f t="shared" si="16"/>
        <v>COMUNAGLIE DI VOLTRI</v>
      </c>
      <c r="C232" t="str">
        <f t="shared" si="17"/>
        <v>2</v>
      </c>
      <c r="D232">
        <v>3</v>
      </c>
      <c r="E232" t="str">
        <f>"41"</f>
        <v>41</v>
      </c>
      <c r="F232" t="str">
        <f t="shared" si="15"/>
        <v>0000</v>
      </c>
    </row>
    <row r="233" spans="1:6">
      <c r="A233" t="str">
        <f>"T475-145"</f>
        <v>T475-145</v>
      </c>
      <c r="B233" t="str">
        <f t="shared" si="16"/>
        <v>COMUNAGLIE DI VOLTRI</v>
      </c>
      <c r="C233" t="str">
        <f t="shared" si="17"/>
        <v>2</v>
      </c>
      <c r="D233">
        <v>3</v>
      </c>
      <c r="E233" t="str">
        <f>"42"</f>
        <v>42</v>
      </c>
      <c r="F233" t="str">
        <f t="shared" si="15"/>
        <v>0000</v>
      </c>
    </row>
    <row r="234" spans="1:6">
      <c r="A234" t="str">
        <f>"T475-146"</f>
        <v>T475-146</v>
      </c>
      <c r="B234" t="str">
        <f t="shared" si="16"/>
        <v>COMUNAGLIE DI VOLTRI</v>
      </c>
      <c r="C234" t="str">
        <f t="shared" si="17"/>
        <v>2</v>
      </c>
      <c r="D234">
        <v>3</v>
      </c>
      <c r="E234" t="str">
        <f>"49"</f>
        <v>49</v>
      </c>
      <c r="F234" t="str">
        <f t="shared" si="15"/>
        <v>0000</v>
      </c>
    </row>
    <row r="235" spans="1:6">
      <c r="A235" t="str">
        <f>"T475-147"</f>
        <v>T475-147</v>
      </c>
      <c r="B235" t="str">
        <f t="shared" si="16"/>
        <v>COMUNAGLIE DI VOLTRI</v>
      </c>
      <c r="C235" t="str">
        <f t="shared" si="17"/>
        <v>2</v>
      </c>
      <c r="D235">
        <v>3</v>
      </c>
      <c r="E235" t="str">
        <f>"50"</f>
        <v>50</v>
      </c>
      <c r="F235" t="str">
        <f t="shared" si="15"/>
        <v>0000</v>
      </c>
    </row>
    <row r="236" spans="1:6">
      <c r="A236" t="str">
        <f>"T475-148"</f>
        <v>T475-148</v>
      </c>
      <c r="B236" t="str">
        <f t="shared" si="16"/>
        <v>COMUNAGLIE DI VOLTRI</v>
      </c>
      <c r="C236" t="str">
        <f t="shared" si="17"/>
        <v>2</v>
      </c>
      <c r="D236">
        <v>3</v>
      </c>
      <c r="E236" t="str">
        <f>"51"</f>
        <v>51</v>
      </c>
      <c r="F236" t="str">
        <f t="shared" si="15"/>
        <v>0000</v>
      </c>
    </row>
    <row r="237" spans="1:6">
      <c r="A237" t="str">
        <f>"T475-149"</f>
        <v>T475-149</v>
      </c>
      <c r="B237" t="str">
        <f t="shared" si="16"/>
        <v>COMUNAGLIE DI VOLTRI</v>
      </c>
      <c r="C237" t="str">
        <f t="shared" si="17"/>
        <v>2</v>
      </c>
      <c r="D237">
        <v>3</v>
      </c>
      <c r="E237" t="str">
        <f>"52"</f>
        <v>52</v>
      </c>
      <c r="F237" t="str">
        <f t="shared" si="15"/>
        <v>0000</v>
      </c>
    </row>
    <row r="238" spans="1:6">
      <c r="A238" t="str">
        <f>"T475-150"</f>
        <v>T475-150</v>
      </c>
      <c r="B238" t="str">
        <f t="shared" si="16"/>
        <v>COMUNAGLIE DI VOLTRI</v>
      </c>
      <c r="C238" t="str">
        <f t="shared" si="17"/>
        <v>2</v>
      </c>
      <c r="D238">
        <v>3</v>
      </c>
      <c r="E238" t="str">
        <f>"111"</f>
        <v>111</v>
      </c>
      <c r="F238" t="str">
        <f t="shared" si="15"/>
        <v>0000</v>
      </c>
    </row>
    <row r="239" spans="1:6">
      <c r="A239" t="str">
        <f>"T475-151"</f>
        <v>T475-151</v>
      </c>
      <c r="B239" t="str">
        <f t="shared" si="16"/>
        <v>COMUNAGLIE DI VOLTRI</v>
      </c>
      <c r="C239" t="str">
        <f t="shared" si="17"/>
        <v>2</v>
      </c>
      <c r="D239">
        <v>3</v>
      </c>
      <c r="E239" t="str">
        <f>"137"</f>
        <v>137</v>
      </c>
      <c r="F239" t="str">
        <f t="shared" si="15"/>
        <v>0000</v>
      </c>
    </row>
    <row r="240" spans="1:6">
      <c r="A240" t="str">
        <f>"T475-152"</f>
        <v>T475-152</v>
      </c>
      <c r="B240" t="str">
        <f t="shared" si="16"/>
        <v>COMUNAGLIE DI VOLTRI</v>
      </c>
      <c r="C240" t="str">
        <f t="shared" si="17"/>
        <v>2</v>
      </c>
      <c r="D240">
        <v>3</v>
      </c>
      <c r="E240" t="str">
        <f>"138"</f>
        <v>138</v>
      </c>
      <c r="F240" t="str">
        <f t="shared" si="15"/>
        <v>0000</v>
      </c>
    </row>
    <row r="241" spans="1:6">
      <c r="A241" t="str">
        <f>"T475-153"</f>
        <v>T475-153</v>
      </c>
      <c r="B241" t="str">
        <f t="shared" si="16"/>
        <v>COMUNAGLIE DI VOLTRI</v>
      </c>
      <c r="C241" t="str">
        <f t="shared" si="17"/>
        <v>2</v>
      </c>
      <c r="D241">
        <v>3</v>
      </c>
      <c r="E241" t="str">
        <f>"139"</f>
        <v>139</v>
      </c>
      <c r="F241" t="str">
        <f t="shared" si="15"/>
        <v>0000</v>
      </c>
    </row>
    <row r="242" spans="1:6">
      <c r="A242" t="str">
        <f>"T475-154"</f>
        <v>T475-154</v>
      </c>
      <c r="B242" t="str">
        <f t="shared" si="16"/>
        <v>COMUNAGLIE DI VOLTRI</v>
      </c>
      <c r="C242" t="str">
        <f t="shared" si="17"/>
        <v>2</v>
      </c>
      <c r="D242">
        <v>3</v>
      </c>
      <c r="E242" t="str">
        <f>"197"</f>
        <v>197</v>
      </c>
      <c r="F242" t="str">
        <f t="shared" si="15"/>
        <v>0000</v>
      </c>
    </row>
    <row r="243" spans="1:6">
      <c r="A243" t="str">
        <f>"T475-155"</f>
        <v>T475-155</v>
      </c>
      <c r="B243" t="str">
        <f t="shared" si="16"/>
        <v>COMUNAGLIE DI VOLTRI</v>
      </c>
      <c r="C243" t="str">
        <f t="shared" si="17"/>
        <v>2</v>
      </c>
      <c r="D243">
        <v>3</v>
      </c>
      <c r="E243" t="str">
        <f>"198"</f>
        <v>198</v>
      </c>
      <c r="F243" t="str">
        <f t="shared" si="15"/>
        <v>0000</v>
      </c>
    </row>
    <row r="244" spans="1:6">
      <c r="A244" t="str">
        <f>"T475-156"</f>
        <v>T475-156</v>
      </c>
      <c r="B244" t="str">
        <f t="shared" si="16"/>
        <v>COMUNAGLIE DI VOLTRI</v>
      </c>
      <c r="C244" t="str">
        <f t="shared" si="17"/>
        <v>2</v>
      </c>
      <c r="D244">
        <v>4</v>
      </c>
      <c r="E244" t="str">
        <f>"2"</f>
        <v>2</v>
      </c>
      <c r="F244" t="str">
        <f t="shared" si="15"/>
        <v>0000</v>
      </c>
    </row>
    <row r="245" spans="1:6">
      <c r="A245" t="str">
        <f>"T475-157"</f>
        <v>T475-157</v>
      </c>
      <c r="B245" t="str">
        <f t="shared" si="16"/>
        <v>COMUNAGLIE DI VOLTRI</v>
      </c>
      <c r="C245" t="str">
        <f t="shared" si="17"/>
        <v>2</v>
      </c>
      <c r="D245">
        <v>4</v>
      </c>
      <c r="E245" t="str">
        <f>"3"</f>
        <v>3</v>
      </c>
      <c r="F245" t="str">
        <f t="shared" si="15"/>
        <v>0000</v>
      </c>
    </row>
    <row r="246" spans="1:6">
      <c r="A246" t="str">
        <f>"T475-158"</f>
        <v>T475-158</v>
      </c>
      <c r="B246" t="str">
        <f t="shared" si="16"/>
        <v>COMUNAGLIE DI VOLTRI</v>
      </c>
      <c r="C246" t="str">
        <f t="shared" si="17"/>
        <v>2</v>
      </c>
      <c r="D246">
        <v>4</v>
      </c>
      <c r="E246" t="str">
        <f>"4"</f>
        <v>4</v>
      </c>
      <c r="F246" t="str">
        <f t="shared" si="15"/>
        <v>0000</v>
      </c>
    </row>
    <row r="247" spans="1:6">
      <c r="A247" t="str">
        <f>"T475-159"</f>
        <v>T475-159</v>
      </c>
      <c r="B247" t="str">
        <f t="shared" si="16"/>
        <v>COMUNAGLIE DI VOLTRI</v>
      </c>
      <c r="C247" t="str">
        <f t="shared" si="17"/>
        <v>2</v>
      </c>
      <c r="D247">
        <v>4</v>
      </c>
      <c r="E247" t="str">
        <f>"5"</f>
        <v>5</v>
      </c>
      <c r="F247" t="str">
        <f t="shared" si="15"/>
        <v>0000</v>
      </c>
    </row>
    <row r="248" spans="1:6">
      <c r="A248" t="str">
        <f>"T475-160"</f>
        <v>T475-160</v>
      </c>
      <c r="B248" t="str">
        <f t="shared" si="16"/>
        <v>COMUNAGLIE DI VOLTRI</v>
      </c>
      <c r="C248" t="str">
        <f t="shared" si="17"/>
        <v>2</v>
      </c>
      <c r="D248">
        <v>4</v>
      </c>
      <c r="E248" t="str">
        <f>"6"</f>
        <v>6</v>
      </c>
      <c r="F248" t="str">
        <f t="shared" si="15"/>
        <v>0000</v>
      </c>
    </row>
    <row r="249" spans="1:6">
      <c r="A249" t="str">
        <f>"T475-161"</f>
        <v>T475-161</v>
      </c>
      <c r="B249" t="str">
        <f t="shared" si="16"/>
        <v>COMUNAGLIE DI VOLTRI</v>
      </c>
      <c r="C249" t="str">
        <f t="shared" si="17"/>
        <v>2</v>
      </c>
      <c r="D249">
        <v>4</v>
      </c>
      <c r="E249" t="str">
        <f>"7"</f>
        <v>7</v>
      </c>
      <c r="F249" t="str">
        <f t="shared" si="15"/>
        <v>0000</v>
      </c>
    </row>
    <row r="250" spans="1:6">
      <c r="A250" t="str">
        <f>"T475-162"</f>
        <v>T475-162</v>
      </c>
      <c r="B250" t="str">
        <f t="shared" si="16"/>
        <v>COMUNAGLIE DI VOLTRI</v>
      </c>
      <c r="C250" t="str">
        <f t="shared" si="17"/>
        <v>2</v>
      </c>
      <c r="D250">
        <v>4</v>
      </c>
      <c r="E250" t="str">
        <f>"9"</f>
        <v>9</v>
      </c>
      <c r="F250" t="str">
        <f t="shared" si="15"/>
        <v>0000</v>
      </c>
    </row>
    <row r="251" spans="1:6">
      <c r="A251" t="str">
        <f>"T475-163"</f>
        <v>T475-163</v>
      </c>
      <c r="B251" t="str">
        <f t="shared" si="16"/>
        <v>COMUNAGLIE DI VOLTRI</v>
      </c>
      <c r="C251" t="str">
        <f t="shared" si="17"/>
        <v>2</v>
      </c>
      <c r="D251">
        <v>4</v>
      </c>
      <c r="E251" t="str">
        <f>"24"</f>
        <v>24</v>
      </c>
      <c r="F251" t="str">
        <f t="shared" si="15"/>
        <v>0000</v>
      </c>
    </row>
    <row r="252" spans="1:6">
      <c r="A252" t="str">
        <f>"T475-164"</f>
        <v>T475-164</v>
      </c>
      <c r="B252" t="str">
        <f t="shared" si="16"/>
        <v>COMUNAGLIE DI VOLTRI</v>
      </c>
      <c r="C252" t="str">
        <f t="shared" si="17"/>
        <v>2</v>
      </c>
      <c r="D252">
        <v>4</v>
      </c>
      <c r="E252" t="str">
        <f>"25"</f>
        <v>25</v>
      </c>
      <c r="F252" t="str">
        <f t="shared" si="15"/>
        <v>0000</v>
      </c>
    </row>
    <row r="253" spans="1:6">
      <c r="A253" t="str">
        <f>"T475-165"</f>
        <v>T475-165</v>
      </c>
      <c r="B253" t="str">
        <f t="shared" si="16"/>
        <v>COMUNAGLIE DI VOLTRI</v>
      </c>
      <c r="C253" t="str">
        <f t="shared" si="17"/>
        <v>2</v>
      </c>
      <c r="D253">
        <v>4</v>
      </c>
      <c r="E253" t="str">
        <f>"26"</f>
        <v>26</v>
      </c>
      <c r="F253" t="str">
        <f t="shared" si="15"/>
        <v>0000</v>
      </c>
    </row>
    <row r="254" spans="1:6">
      <c r="A254" t="str">
        <f>"T475-166"</f>
        <v>T475-166</v>
      </c>
      <c r="B254" t="str">
        <f t="shared" si="16"/>
        <v>COMUNAGLIE DI VOLTRI</v>
      </c>
      <c r="C254" t="str">
        <f t="shared" si="17"/>
        <v>2</v>
      </c>
      <c r="D254">
        <v>4</v>
      </c>
      <c r="E254" t="str">
        <f>"28"</f>
        <v>28</v>
      </c>
      <c r="F254" t="str">
        <f t="shared" si="15"/>
        <v>0000</v>
      </c>
    </row>
    <row r="255" spans="1:6">
      <c r="A255" t="str">
        <f>"T475-167"</f>
        <v>T475-167</v>
      </c>
      <c r="B255" t="str">
        <f t="shared" si="16"/>
        <v>COMUNAGLIE DI VOLTRI</v>
      </c>
      <c r="C255" t="str">
        <f t="shared" si="17"/>
        <v>2</v>
      </c>
      <c r="D255">
        <v>4</v>
      </c>
      <c r="E255" t="str">
        <f>"63"</f>
        <v>63</v>
      </c>
      <c r="F255" t="str">
        <f t="shared" si="15"/>
        <v>0000</v>
      </c>
    </row>
    <row r="256" spans="1:6">
      <c r="A256" t="str">
        <f>"T475-168"</f>
        <v>T475-168</v>
      </c>
      <c r="B256" t="str">
        <f t="shared" si="16"/>
        <v>COMUNAGLIE DI VOLTRI</v>
      </c>
      <c r="C256" t="str">
        <f t="shared" si="17"/>
        <v>2</v>
      </c>
      <c r="D256">
        <v>4</v>
      </c>
      <c r="E256" t="str">
        <f>"65"</f>
        <v>65</v>
      </c>
      <c r="F256" t="str">
        <f t="shared" si="15"/>
        <v>0000</v>
      </c>
    </row>
    <row r="257" spans="1:6">
      <c r="A257" t="str">
        <f>"T475-169"</f>
        <v>T475-169</v>
      </c>
      <c r="B257" t="str">
        <f t="shared" si="16"/>
        <v>COMUNAGLIE DI VOLTRI</v>
      </c>
      <c r="C257" t="str">
        <f t="shared" si="17"/>
        <v>2</v>
      </c>
      <c r="D257">
        <v>4</v>
      </c>
      <c r="E257" t="str">
        <f>"66"</f>
        <v>66</v>
      </c>
      <c r="F257" t="str">
        <f t="shared" si="15"/>
        <v>0000</v>
      </c>
    </row>
    <row r="258" spans="1:6">
      <c r="A258" t="str">
        <f>"T475-170"</f>
        <v>T475-170</v>
      </c>
      <c r="B258" t="str">
        <f t="shared" si="16"/>
        <v>COMUNAGLIE DI VOLTRI</v>
      </c>
      <c r="C258" t="str">
        <f t="shared" si="17"/>
        <v>2</v>
      </c>
      <c r="D258">
        <v>4</v>
      </c>
      <c r="E258" t="str">
        <f>"67"</f>
        <v>67</v>
      </c>
      <c r="F258" t="str">
        <f t="shared" ref="F258:F321" si="18">"0000"</f>
        <v>0000</v>
      </c>
    </row>
    <row r="259" spans="1:6">
      <c r="A259" t="str">
        <f>"T475-171"</f>
        <v>T475-171</v>
      </c>
      <c r="B259" t="str">
        <f t="shared" si="16"/>
        <v>COMUNAGLIE DI VOLTRI</v>
      </c>
      <c r="C259" t="str">
        <f t="shared" si="17"/>
        <v>2</v>
      </c>
      <c r="D259">
        <v>4</v>
      </c>
      <c r="E259" t="str">
        <f>"88"</f>
        <v>88</v>
      </c>
      <c r="F259" t="str">
        <f t="shared" si="18"/>
        <v>0000</v>
      </c>
    </row>
    <row r="260" spans="1:6">
      <c r="A260" t="str">
        <f>"T475-172"</f>
        <v>T475-172</v>
      </c>
      <c r="B260" t="str">
        <f t="shared" si="16"/>
        <v>COMUNAGLIE DI VOLTRI</v>
      </c>
      <c r="C260" t="str">
        <f t="shared" si="17"/>
        <v>2</v>
      </c>
      <c r="D260">
        <v>4</v>
      </c>
      <c r="E260" t="str">
        <f>"89"</f>
        <v>89</v>
      </c>
      <c r="F260" t="str">
        <f t="shared" si="18"/>
        <v>0000</v>
      </c>
    </row>
    <row r="261" spans="1:6">
      <c r="A261" t="str">
        <f>"T475-173"</f>
        <v>T475-173</v>
      </c>
      <c r="B261" t="str">
        <f t="shared" si="16"/>
        <v>COMUNAGLIE DI VOLTRI</v>
      </c>
      <c r="C261" t="str">
        <f t="shared" si="17"/>
        <v>2</v>
      </c>
      <c r="D261">
        <v>4</v>
      </c>
      <c r="E261" t="str">
        <f>"90"</f>
        <v>90</v>
      </c>
      <c r="F261" t="str">
        <f t="shared" si="18"/>
        <v>0000</v>
      </c>
    </row>
    <row r="262" spans="1:6">
      <c r="A262" t="str">
        <f>"T475-174"</f>
        <v>T475-174</v>
      </c>
      <c r="B262" t="str">
        <f t="shared" si="16"/>
        <v>COMUNAGLIE DI VOLTRI</v>
      </c>
      <c r="C262" t="str">
        <f t="shared" si="17"/>
        <v>2</v>
      </c>
      <c r="D262">
        <v>4</v>
      </c>
      <c r="E262" t="str">
        <f>"170"</f>
        <v>170</v>
      </c>
      <c r="F262" t="str">
        <f t="shared" si="18"/>
        <v>0000</v>
      </c>
    </row>
    <row r="263" spans="1:6">
      <c r="A263" t="str">
        <f>"T475-175"</f>
        <v>T475-175</v>
      </c>
      <c r="B263" t="str">
        <f t="shared" si="16"/>
        <v>COMUNAGLIE DI VOLTRI</v>
      </c>
      <c r="C263" t="str">
        <f t="shared" si="17"/>
        <v>2</v>
      </c>
      <c r="D263">
        <v>4</v>
      </c>
      <c r="E263" t="str">
        <f>"171"</f>
        <v>171</v>
      </c>
      <c r="F263" t="str">
        <f t="shared" si="18"/>
        <v>0000</v>
      </c>
    </row>
    <row r="264" spans="1:6">
      <c r="A264" t="str">
        <f>"T475-176"</f>
        <v>T475-176</v>
      </c>
      <c r="B264" t="str">
        <f t="shared" si="16"/>
        <v>COMUNAGLIE DI VOLTRI</v>
      </c>
      <c r="C264" t="str">
        <f t="shared" si="17"/>
        <v>2</v>
      </c>
      <c r="D264">
        <v>5</v>
      </c>
      <c r="E264" t="str">
        <f>"1"</f>
        <v>1</v>
      </c>
      <c r="F264" t="str">
        <f t="shared" si="18"/>
        <v>0000</v>
      </c>
    </row>
    <row r="265" spans="1:6">
      <c r="A265" t="str">
        <f>"T475-177"</f>
        <v>T475-177</v>
      </c>
      <c r="B265" t="str">
        <f t="shared" si="16"/>
        <v>COMUNAGLIE DI VOLTRI</v>
      </c>
      <c r="C265" t="str">
        <f t="shared" si="17"/>
        <v>2</v>
      </c>
      <c r="D265">
        <v>5</v>
      </c>
      <c r="E265" t="str">
        <f>"2"</f>
        <v>2</v>
      </c>
      <c r="F265" t="str">
        <f t="shared" si="18"/>
        <v>0000</v>
      </c>
    </row>
    <row r="266" spans="1:6">
      <c r="A266" t="str">
        <f>"T475-178"</f>
        <v>T475-178</v>
      </c>
      <c r="B266" t="str">
        <f t="shared" si="16"/>
        <v>COMUNAGLIE DI VOLTRI</v>
      </c>
      <c r="C266" t="str">
        <f t="shared" si="17"/>
        <v>2</v>
      </c>
      <c r="D266">
        <v>5</v>
      </c>
      <c r="E266" t="str">
        <f>"3"</f>
        <v>3</v>
      </c>
      <c r="F266" t="str">
        <f t="shared" si="18"/>
        <v>0000</v>
      </c>
    </row>
    <row r="267" spans="1:6">
      <c r="A267" t="str">
        <f>"T475-179"</f>
        <v>T475-179</v>
      </c>
      <c r="B267" t="str">
        <f t="shared" si="16"/>
        <v>COMUNAGLIE DI VOLTRI</v>
      </c>
      <c r="C267" t="str">
        <f t="shared" si="17"/>
        <v>2</v>
      </c>
      <c r="D267">
        <v>5</v>
      </c>
      <c r="E267" t="str">
        <f>"4"</f>
        <v>4</v>
      </c>
      <c r="F267" t="str">
        <f t="shared" si="18"/>
        <v>0000</v>
      </c>
    </row>
    <row r="268" spans="1:6">
      <c r="A268" t="str">
        <f>"T475-180"</f>
        <v>T475-180</v>
      </c>
      <c r="B268" t="str">
        <f t="shared" si="16"/>
        <v>COMUNAGLIE DI VOLTRI</v>
      </c>
      <c r="C268" t="str">
        <f t="shared" si="17"/>
        <v>2</v>
      </c>
      <c r="D268">
        <v>5</v>
      </c>
      <c r="E268" t="str">
        <f>"5"</f>
        <v>5</v>
      </c>
      <c r="F268" t="str">
        <f t="shared" si="18"/>
        <v>0000</v>
      </c>
    </row>
    <row r="269" spans="1:6">
      <c r="A269" t="str">
        <f>"T475-181"</f>
        <v>T475-181</v>
      </c>
      <c r="B269" t="str">
        <f t="shared" si="16"/>
        <v>COMUNAGLIE DI VOLTRI</v>
      </c>
      <c r="C269" t="str">
        <f t="shared" si="17"/>
        <v>2</v>
      </c>
      <c r="D269">
        <v>5</v>
      </c>
      <c r="E269" t="str">
        <f>"6"</f>
        <v>6</v>
      </c>
      <c r="F269" t="str">
        <f t="shared" si="18"/>
        <v>0000</v>
      </c>
    </row>
    <row r="270" spans="1:6">
      <c r="A270" t="str">
        <f>"T475-182"</f>
        <v>T475-182</v>
      </c>
      <c r="B270" t="str">
        <f t="shared" si="16"/>
        <v>COMUNAGLIE DI VOLTRI</v>
      </c>
      <c r="C270" t="str">
        <f t="shared" si="17"/>
        <v>2</v>
      </c>
      <c r="D270">
        <v>5</v>
      </c>
      <c r="E270" t="str">
        <f>"7"</f>
        <v>7</v>
      </c>
      <c r="F270" t="str">
        <f t="shared" si="18"/>
        <v>0000</v>
      </c>
    </row>
    <row r="271" spans="1:6">
      <c r="A271" t="str">
        <f>"T475-183"</f>
        <v>T475-183</v>
      </c>
      <c r="B271" t="str">
        <f t="shared" si="16"/>
        <v>COMUNAGLIE DI VOLTRI</v>
      </c>
      <c r="C271" t="str">
        <f t="shared" si="17"/>
        <v>2</v>
      </c>
      <c r="D271">
        <v>5</v>
      </c>
      <c r="E271" t="str">
        <f>"8"</f>
        <v>8</v>
      </c>
      <c r="F271" t="str">
        <f t="shared" si="18"/>
        <v>0000</v>
      </c>
    </row>
    <row r="272" spans="1:6">
      <c r="A272" t="str">
        <f>"T475-184"</f>
        <v>T475-184</v>
      </c>
      <c r="B272" t="str">
        <f t="shared" si="16"/>
        <v>COMUNAGLIE DI VOLTRI</v>
      </c>
      <c r="C272" t="str">
        <f t="shared" si="17"/>
        <v>2</v>
      </c>
      <c r="D272">
        <v>5</v>
      </c>
      <c r="E272" t="str">
        <f>"9"</f>
        <v>9</v>
      </c>
      <c r="F272" t="str">
        <f t="shared" si="18"/>
        <v>0000</v>
      </c>
    </row>
    <row r="273" spans="1:6">
      <c r="A273" t="str">
        <f>"T475-185"</f>
        <v>T475-185</v>
      </c>
      <c r="B273" t="str">
        <f t="shared" si="16"/>
        <v>COMUNAGLIE DI VOLTRI</v>
      </c>
      <c r="C273" t="str">
        <f t="shared" si="17"/>
        <v>2</v>
      </c>
      <c r="D273">
        <v>5</v>
      </c>
      <c r="E273" t="str">
        <f>"10"</f>
        <v>10</v>
      </c>
      <c r="F273" t="str">
        <f t="shared" si="18"/>
        <v>0000</v>
      </c>
    </row>
    <row r="274" spans="1:6">
      <c r="A274" t="str">
        <f>"T475-186"</f>
        <v>T475-186</v>
      </c>
      <c r="B274" t="str">
        <f t="shared" si="16"/>
        <v>COMUNAGLIE DI VOLTRI</v>
      </c>
      <c r="C274" t="str">
        <f t="shared" si="17"/>
        <v>2</v>
      </c>
      <c r="D274">
        <v>5</v>
      </c>
      <c r="E274" t="str">
        <f>"11"</f>
        <v>11</v>
      </c>
      <c r="F274" t="str">
        <f t="shared" si="18"/>
        <v>0000</v>
      </c>
    </row>
    <row r="275" spans="1:6">
      <c r="A275" t="str">
        <f>"T475-187"</f>
        <v>T475-187</v>
      </c>
      <c r="B275" t="str">
        <f t="shared" si="16"/>
        <v>COMUNAGLIE DI VOLTRI</v>
      </c>
      <c r="C275" t="str">
        <f t="shared" si="17"/>
        <v>2</v>
      </c>
      <c r="D275">
        <v>5</v>
      </c>
      <c r="E275" t="str">
        <f>"12"</f>
        <v>12</v>
      </c>
      <c r="F275" t="str">
        <f t="shared" si="18"/>
        <v>0000</v>
      </c>
    </row>
    <row r="276" spans="1:6">
      <c r="A276" t="str">
        <f>"T475-188"</f>
        <v>T475-188</v>
      </c>
      <c r="B276" t="str">
        <f t="shared" si="16"/>
        <v>COMUNAGLIE DI VOLTRI</v>
      </c>
      <c r="C276" t="str">
        <f t="shared" si="17"/>
        <v>2</v>
      </c>
      <c r="D276">
        <v>5</v>
      </c>
      <c r="E276" t="str">
        <f>"13"</f>
        <v>13</v>
      </c>
      <c r="F276" t="str">
        <f t="shared" si="18"/>
        <v>0000</v>
      </c>
    </row>
    <row r="277" spans="1:6">
      <c r="A277" t="str">
        <f>"T475-189"</f>
        <v>T475-189</v>
      </c>
      <c r="B277" t="str">
        <f t="shared" si="16"/>
        <v>COMUNAGLIE DI VOLTRI</v>
      </c>
      <c r="C277" t="str">
        <f t="shared" si="17"/>
        <v>2</v>
      </c>
      <c r="D277">
        <v>5</v>
      </c>
      <c r="E277" t="str">
        <f>"14"</f>
        <v>14</v>
      </c>
      <c r="F277" t="str">
        <f t="shared" si="18"/>
        <v>0000</v>
      </c>
    </row>
    <row r="278" spans="1:6">
      <c r="A278" t="str">
        <f>"T475-190"</f>
        <v>T475-190</v>
      </c>
      <c r="B278" t="str">
        <f t="shared" si="16"/>
        <v>COMUNAGLIE DI VOLTRI</v>
      </c>
      <c r="C278" t="str">
        <f t="shared" si="17"/>
        <v>2</v>
      </c>
      <c r="D278">
        <v>5</v>
      </c>
      <c r="E278" t="str">
        <f>"15"</f>
        <v>15</v>
      </c>
      <c r="F278" t="str">
        <f t="shared" si="18"/>
        <v>0000</v>
      </c>
    </row>
    <row r="279" spans="1:6">
      <c r="A279" t="str">
        <f>"T475-191"</f>
        <v>T475-191</v>
      </c>
      <c r="B279" t="str">
        <f t="shared" si="16"/>
        <v>COMUNAGLIE DI VOLTRI</v>
      </c>
      <c r="C279" t="str">
        <f t="shared" si="17"/>
        <v>2</v>
      </c>
      <c r="D279">
        <v>5</v>
      </c>
      <c r="E279" t="str">
        <f>"16"</f>
        <v>16</v>
      </c>
      <c r="F279" t="str">
        <f t="shared" si="18"/>
        <v>0000</v>
      </c>
    </row>
    <row r="280" spans="1:6">
      <c r="A280" t="str">
        <f>"T475-192"</f>
        <v>T475-192</v>
      </c>
      <c r="B280" t="str">
        <f t="shared" si="16"/>
        <v>COMUNAGLIE DI VOLTRI</v>
      </c>
      <c r="C280" t="str">
        <f t="shared" si="17"/>
        <v>2</v>
      </c>
      <c r="D280">
        <v>5</v>
      </c>
      <c r="E280" t="str">
        <f>"17"</f>
        <v>17</v>
      </c>
      <c r="F280" t="str">
        <f t="shared" si="18"/>
        <v>0000</v>
      </c>
    </row>
    <row r="281" spans="1:6">
      <c r="A281" t="str">
        <f>"T475-193"</f>
        <v>T475-193</v>
      </c>
      <c r="B281" t="str">
        <f t="shared" ref="B281:B344" si="19">"COMUNAGLIE DI VOLTRI"</f>
        <v>COMUNAGLIE DI VOLTRI</v>
      </c>
      <c r="C281" t="str">
        <f t="shared" ref="C281:C344" si="20">"2"</f>
        <v>2</v>
      </c>
      <c r="D281">
        <v>5</v>
      </c>
      <c r="E281" t="str">
        <f>"18"</f>
        <v>18</v>
      </c>
      <c r="F281" t="str">
        <f t="shared" si="18"/>
        <v>0000</v>
      </c>
    </row>
    <row r="282" spans="1:6">
      <c r="A282" t="str">
        <f>"T475-194"</f>
        <v>T475-194</v>
      </c>
      <c r="B282" t="str">
        <f t="shared" si="19"/>
        <v>COMUNAGLIE DI VOLTRI</v>
      </c>
      <c r="C282" t="str">
        <f t="shared" si="20"/>
        <v>2</v>
      </c>
      <c r="D282">
        <v>5</v>
      </c>
      <c r="E282" t="str">
        <f>"19"</f>
        <v>19</v>
      </c>
      <c r="F282" t="str">
        <f t="shared" si="18"/>
        <v>0000</v>
      </c>
    </row>
    <row r="283" spans="1:6">
      <c r="A283" t="str">
        <f>"T475-195"</f>
        <v>T475-195</v>
      </c>
      <c r="B283" t="str">
        <f t="shared" si="19"/>
        <v>COMUNAGLIE DI VOLTRI</v>
      </c>
      <c r="C283" t="str">
        <f t="shared" si="20"/>
        <v>2</v>
      </c>
      <c r="D283">
        <v>5</v>
      </c>
      <c r="E283" t="str">
        <f>"20"</f>
        <v>20</v>
      </c>
      <c r="F283" t="str">
        <f t="shared" si="18"/>
        <v>0000</v>
      </c>
    </row>
    <row r="284" spans="1:6">
      <c r="A284" t="str">
        <f>"T475-196"</f>
        <v>T475-196</v>
      </c>
      <c r="B284" t="str">
        <f t="shared" si="19"/>
        <v>COMUNAGLIE DI VOLTRI</v>
      </c>
      <c r="C284" t="str">
        <f t="shared" si="20"/>
        <v>2</v>
      </c>
      <c r="D284">
        <v>5</v>
      </c>
      <c r="E284" t="str">
        <f>"21"</f>
        <v>21</v>
      </c>
      <c r="F284" t="str">
        <f t="shared" si="18"/>
        <v>0000</v>
      </c>
    </row>
    <row r="285" spans="1:6">
      <c r="A285" t="str">
        <f>"T475-197"</f>
        <v>T475-197</v>
      </c>
      <c r="B285" t="str">
        <f t="shared" si="19"/>
        <v>COMUNAGLIE DI VOLTRI</v>
      </c>
      <c r="C285" t="str">
        <f t="shared" si="20"/>
        <v>2</v>
      </c>
      <c r="D285">
        <v>5</v>
      </c>
      <c r="E285" t="str">
        <f>"22"</f>
        <v>22</v>
      </c>
      <c r="F285" t="str">
        <f t="shared" si="18"/>
        <v>0000</v>
      </c>
    </row>
    <row r="286" spans="1:6">
      <c r="A286" t="str">
        <f>"T475-198"</f>
        <v>T475-198</v>
      </c>
      <c r="B286" t="str">
        <f t="shared" si="19"/>
        <v>COMUNAGLIE DI VOLTRI</v>
      </c>
      <c r="C286" t="str">
        <f t="shared" si="20"/>
        <v>2</v>
      </c>
      <c r="D286">
        <v>5</v>
      </c>
      <c r="E286" t="str">
        <f>"23"</f>
        <v>23</v>
      </c>
      <c r="F286" t="str">
        <f t="shared" si="18"/>
        <v>0000</v>
      </c>
    </row>
    <row r="287" spans="1:6">
      <c r="A287" t="str">
        <f>"T475-199"</f>
        <v>T475-199</v>
      </c>
      <c r="B287" t="str">
        <f t="shared" si="19"/>
        <v>COMUNAGLIE DI VOLTRI</v>
      </c>
      <c r="C287" t="str">
        <f t="shared" si="20"/>
        <v>2</v>
      </c>
      <c r="D287">
        <v>5</v>
      </c>
      <c r="E287" t="str">
        <f>"24"</f>
        <v>24</v>
      </c>
      <c r="F287" t="str">
        <f t="shared" si="18"/>
        <v>0000</v>
      </c>
    </row>
    <row r="288" spans="1:6">
      <c r="A288" t="str">
        <f>"T475-200"</f>
        <v>T475-200</v>
      </c>
      <c r="B288" t="str">
        <f t="shared" si="19"/>
        <v>COMUNAGLIE DI VOLTRI</v>
      </c>
      <c r="C288" t="str">
        <f t="shared" si="20"/>
        <v>2</v>
      </c>
      <c r="D288">
        <v>5</v>
      </c>
      <c r="E288" t="str">
        <f>"25"</f>
        <v>25</v>
      </c>
      <c r="F288" t="str">
        <f t="shared" si="18"/>
        <v>0000</v>
      </c>
    </row>
    <row r="289" spans="1:6">
      <c r="A289" t="str">
        <f>"T475-201"</f>
        <v>T475-201</v>
      </c>
      <c r="B289" t="str">
        <f t="shared" si="19"/>
        <v>COMUNAGLIE DI VOLTRI</v>
      </c>
      <c r="C289" t="str">
        <f t="shared" si="20"/>
        <v>2</v>
      </c>
      <c r="D289">
        <v>5</v>
      </c>
      <c r="E289" t="str">
        <f>"26"</f>
        <v>26</v>
      </c>
      <c r="F289" t="str">
        <f t="shared" si="18"/>
        <v>0000</v>
      </c>
    </row>
    <row r="290" spans="1:6">
      <c r="A290" t="str">
        <f>"T475-202"</f>
        <v>T475-202</v>
      </c>
      <c r="B290" t="str">
        <f t="shared" si="19"/>
        <v>COMUNAGLIE DI VOLTRI</v>
      </c>
      <c r="C290" t="str">
        <f t="shared" si="20"/>
        <v>2</v>
      </c>
      <c r="D290">
        <v>5</v>
      </c>
      <c r="E290" t="str">
        <f>"27"</f>
        <v>27</v>
      </c>
      <c r="F290" t="str">
        <f t="shared" si="18"/>
        <v>0000</v>
      </c>
    </row>
    <row r="291" spans="1:6">
      <c r="A291" t="str">
        <f>"T475-203"</f>
        <v>T475-203</v>
      </c>
      <c r="B291" t="str">
        <f t="shared" si="19"/>
        <v>COMUNAGLIE DI VOLTRI</v>
      </c>
      <c r="C291" t="str">
        <f t="shared" si="20"/>
        <v>2</v>
      </c>
      <c r="D291">
        <v>5</v>
      </c>
      <c r="E291" t="str">
        <f>"28"</f>
        <v>28</v>
      </c>
      <c r="F291" t="str">
        <f t="shared" si="18"/>
        <v>0000</v>
      </c>
    </row>
    <row r="292" spans="1:6">
      <c r="A292" t="str">
        <f>"T475-204"</f>
        <v>T475-204</v>
      </c>
      <c r="B292" t="str">
        <f t="shared" si="19"/>
        <v>COMUNAGLIE DI VOLTRI</v>
      </c>
      <c r="C292" t="str">
        <f t="shared" si="20"/>
        <v>2</v>
      </c>
      <c r="D292">
        <v>5</v>
      </c>
      <c r="E292" t="str">
        <f>"29"</f>
        <v>29</v>
      </c>
      <c r="F292" t="str">
        <f t="shared" si="18"/>
        <v>0000</v>
      </c>
    </row>
    <row r="293" spans="1:6">
      <c r="A293" t="str">
        <f>"T475-205"</f>
        <v>T475-205</v>
      </c>
      <c r="B293" t="str">
        <f t="shared" si="19"/>
        <v>COMUNAGLIE DI VOLTRI</v>
      </c>
      <c r="C293" t="str">
        <f t="shared" si="20"/>
        <v>2</v>
      </c>
      <c r="D293">
        <v>5</v>
      </c>
      <c r="E293" t="str">
        <f>"30"</f>
        <v>30</v>
      </c>
      <c r="F293" t="str">
        <f t="shared" si="18"/>
        <v>0000</v>
      </c>
    </row>
    <row r="294" spans="1:6">
      <c r="A294" t="str">
        <f>"T475-206"</f>
        <v>T475-206</v>
      </c>
      <c r="B294" t="str">
        <f t="shared" si="19"/>
        <v>COMUNAGLIE DI VOLTRI</v>
      </c>
      <c r="C294" t="str">
        <f t="shared" si="20"/>
        <v>2</v>
      </c>
      <c r="D294">
        <v>5</v>
      </c>
      <c r="E294" t="str">
        <f>"31"</f>
        <v>31</v>
      </c>
      <c r="F294" t="str">
        <f t="shared" si="18"/>
        <v>0000</v>
      </c>
    </row>
    <row r="295" spans="1:6">
      <c r="A295" t="str">
        <f>"T475-207"</f>
        <v>T475-207</v>
      </c>
      <c r="B295" t="str">
        <f t="shared" si="19"/>
        <v>COMUNAGLIE DI VOLTRI</v>
      </c>
      <c r="C295" t="str">
        <f t="shared" si="20"/>
        <v>2</v>
      </c>
      <c r="D295">
        <v>5</v>
      </c>
      <c r="E295" t="str">
        <f>"32"</f>
        <v>32</v>
      </c>
      <c r="F295" t="str">
        <f t="shared" si="18"/>
        <v>0000</v>
      </c>
    </row>
    <row r="296" spans="1:6">
      <c r="A296" t="str">
        <f>"T475-208"</f>
        <v>T475-208</v>
      </c>
      <c r="B296" t="str">
        <f t="shared" si="19"/>
        <v>COMUNAGLIE DI VOLTRI</v>
      </c>
      <c r="C296" t="str">
        <f t="shared" si="20"/>
        <v>2</v>
      </c>
      <c r="D296">
        <v>5</v>
      </c>
      <c r="E296" t="str">
        <f>"33"</f>
        <v>33</v>
      </c>
      <c r="F296" t="str">
        <f t="shared" si="18"/>
        <v>0000</v>
      </c>
    </row>
    <row r="297" spans="1:6">
      <c r="A297" t="str">
        <f>"T475-209"</f>
        <v>T475-209</v>
      </c>
      <c r="B297" t="str">
        <f t="shared" si="19"/>
        <v>COMUNAGLIE DI VOLTRI</v>
      </c>
      <c r="C297" t="str">
        <f t="shared" si="20"/>
        <v>2</v>
      </c>
      <c r="D297">
        <v>5</v>
      </c>
      <c r="E297" t="str">
        <f>"34"</f>
        <v>34</v>
      </c>
      <c r="F297" t="str">
        <f t="shared" si="18"/>
        <v>0000</v>
      </c>
    </row>
    <row r="298" spans="1:6">
      <c r="A298" t="str">
        <f>"T475-210"</f>
        <v>T475-210</v>
      </c>
      <c r="B298" t="str">
        <f t="shared" si="19"/>
        <v>COMUNAGLIE DI VOLTRI</v>
      </c>
      <c r="C298" t="str">
        <f t="shared" si="20"/>
        <v>2</v>
      </c>
      <c r="D298">
        <v>5</v>
      </c>
      <c r="E298" t="str">
        <f>"35"</f>
        <v>35</v>
      </c>
      <c r="F298" t="str">
        <f t="shared" si="18"/>
        <v>0000</v>
      </c>
    </row>
    <row r="299" spans="1:6">
      <c r="A299" t="str">
        <f>"T475-211"</f>
        <v>T475-211</v>
      </c>
      <c r="B299" t="str">
        <f t="shared" si="19"/>
        <v>COMUNAGLIE DI VOLTRI</v>
      </c>
      <c r="C299" t="str">
        <f t="shared" si="20"/>
        <v>2</v>
      </c>
      <c r="D299">
        <v>5</v>
      </c>
      <c r="E299" t="str">
        <f>"36"</f>
        <v>36</v>
      </c>
      <c r="F299" t="str">
        <f t="shared" si="18"/>
        <v>0000</v>
      </c>
    </row>
    <row r="300" spans="1:6">
      <c r="A300" t="str">
        <f>"T475-212"</f>
        <v>T475-212</v>
      </c>
      <c r="B300" t="str">
        <f t="shared" si="19"/>
        <v>COMUNAGLIE DI VOLTRI</v>
      </c>
      <c r="C300" t="str">
        <f t="shared" si="20"/>
        <v>2</v>
      </c>
      <c r="D300">
        <v>5</v>
      </c>
      <c r="E300" t="str">
        <f>"37"</f>
        <v>37</v>
      </c>
      <c r="F300" t="str">
        <f t="shared" si="18"/>
        <v>0000</v>
      </c>
    </row>
    <row r="301" spans="1:6">
      <c r="A301" t="str">
        <f>"T475-213"</f>
        <v>T475-213</v>
      </c>
      <c r="B301" t="str">
        <f t="shared" si="19"/>
        <v>COMUNAGLIE DI VOLTRI</v>
      </c>
      <c r="C301" t="str">
        <f t="shared" si="20"/>
        <v>2</v>
      </c>
      <c r="D301">
        <v>5</v>
      </c>
      <c r="E301" t="str">
        <f>"38"</f>
        <v>38</v>
      </c>
      <c r="F301" t="str">
        <f t="shared" si="18"/>
        <v>0000</v>
      </c>
    </row>
    <row r="302" spans="1:6">
      <c r="A302" t="str">
        <f>"T475-214"</f>
        <v>T475-214</v>
      </c>
      <c r="B302" t="str">
        <f t="shared" si="19"/>
        <v>COMUNAGLIE DI VOLTRI</v>
      </c>
      <c r="C302" t="str">
        <f t="shared" si="20"/>
        <v>2</v>
      </c>
      <c r="D302">
        <v>5</v>
      </c>
      <c r="E302" t="str">
        <f>"39"</f>
        <v>39</v>
      </c>
      <c r="F302" t="str">
        <f t="shared" si="18"/>
        <v>0000</v>
      </c>
    </row>
    <row r="303" spans="1:6">
      <c r="A303" t="str">
        <f>"T475-215"</f>
        <v>T475-215</v>
      </c>
      <c r="B303" t="str">
        <f t="shared" si="19"/>
        <v>COMUNAGLIE DI VOLTRI</v>
      </c>
      <c r="C303" t="str">
        <f t="shared" si="20"/>
        <v>2</v>
      </c>
      <c r="D303">
        <v>5</v>
      </c>
      <c r="E303" t="str">
        <f>"40"</f>
        <v>40</v>
      </c>
      <c r="F303" t="str">
        <f t="shared" si="18"/>
        <v>0000</v>
      </c>
    </row>
    <row r="304" spans="1:6">
      <c r="A304" t="str">
        <f>"T475-216"</f>
        <v>T475-216</v>
      </c>
      <c r="B304" t="str">
        <f t="shared" si="19"/>
        <v>COMUNAGLIE DI VOLTRI</v>
      </c>
      <c r="C304" t="str">
        <f t="shared" si="20"/>
        <v>2</v>
      </c>
      <c r="D304">
        <v>5</v>
      </c>
      <c r="E304" t="str">
        <f>"41"</f>
        <v>41</v>
      </c>
      <c r="F304" t="str">
        <f t="shared" si="18"/>
        <v>0000</v>
      </c>
    </row>
    <row r="305" spans="1:6">
      <c r="A305" t="str">
        <f>"T475-217"</f>
        <v>T475-217</v>
      </c>
      <c r="B305" t="str">
        <f t="shared" si="19"/>
        <v>COMUNAGLIE DI VOLTRI</v>
      </c>
      <c r="C305" t="str">
        <f t="shared" si="20"/>
        <v>2</v>
      </c>
      <c r="D305">
        <v>5</v>
      </c>
      <c r="E305" t="str">
        <f>"42"</f>
        <v>42</v>
      </c>
      <c r="F305" t="str">
        <f t="shared" si="18"/>
        <v>0000</v>
      </c>
    </row>
    <row r="306" spans="1:6">
      <c r="A306" t="str">
        <f>"T475-218"</f>
        <v>T475-218</v>
      </c>
      <c r="B306" t="str">
        <f t="shared" si="19"/>
        <v>COMUNAGLIE DI VOLTRI</v>
      </c>
      <c r="C306" t="str">
        <f t="shared" si="20"/>
        <v>2</v>
      </c>
      <c r="D306">
        <v>5</v>
      </c>
      <c r="E306" t="str">
        <f>"43"</f>
        <v>43</v>
      </c>
      <c r="F306" t="str">
        <f t="shared" si="18"/>
        <v>0000</v>
      </c>
    </row>
    <row r="307" spans="1:6">
      <c r="A307" t="str">
        <f>"T475-219"</f>
        <v>T475-219</v>
      </c>
      <c r="B307" t="str">
        <f t="shared" si="19"/>
        <v>COMUNAGLIE DI VOLTRI</v>
      </c>
      <c r="C307" t="str">
        <f t="shared" si="20"/>
        <v>2</v>
      </c>
      <c r="D307">
        <v>5</v>
      </c>
      <c r="E307" t="str">
        <f>"44"</f>
        <v>44</v>
      </c>
      <c r="F307" t="str">
        <f t="shared" si="18"/>
        <v>0000</v>
      </c>
    </row>
    <row r="308" spans="1:6">
      <c r="A308" t="str">
        <f>"T475-220"</f>
        <v>T475-220</v>
      </c>
      <c r="B308" t="str">
        <f t="shared" si="19"/>
        <v>COMUNAGLIE DI VOLTRI</v>
      </c>
      <c r="C308" t="str">
        <f t="shared" si="20"/>
        <v>2</v>
      </c>
      <c r="D308">
        <v>5</v>
      </c>
      <c r="E308" t="str">
        <f>"45"</f>
        <v>45</v>
      </c>
      <c r="F308" t="str">
        <f t="shared" si="18"/>
        <v>0000</v>
      </c>
    </row>
    <row r="309" spans="1:6">
      <c r="A309" t="str">
        <f>"T475-221"</f>
        <v>T475-221</v>
      </c>
      <c r="B309" t="str">
        <f t="shared" si="19"/>
        <v>COMUNAGLIE DI VOLTRI</v>
      </c>
      <c r="C309" t="str">
        <f t="shared" si="20"/>
        <v>2</v>
      </c>
      <c r="D309">
        <v>5</v>
      </c>
      <c r="E309" t="str">
        <f>"46"</f>
        <v>46</v>
      </c>
      <c r="F309" t="str">
        <f t="shared" si="18"/>
        <v>0000</v>
      </c>
    </row>
    <row r="310" spans="1:6">
      <c r="A310" t="str">
        <f>"T475-222"</f>
        <v>T475-222</v>
      </c>
      <c r="B310" t="str">
        <f t="shared" si="19"/>
        <v>COMUNAGLIE DI VOLTRI</v>
      </c>
      <c r="C310" t="str">
        <f t="shared" si="20"/>
        <v>2</v>
      </c>
      <c r="D310">
        <v>5</v>
      </c>
      <c r="E310" t="str">
        <f>"47"</f>
        <v>47</v>
      </c>
      <c r="F310" t="str">
        <f t="shared" si="18"/>
        <v>0000</v>
      </c>
    </row>
    <row r="311" spans="1:6">
      <c r="A311" t="str">
        <f>"T475-223"</f>
        <v>T475-223</v>
      </c>
      <c r="B311" t="str">
        <f t="shared" si="19"/>
        <v>COMUNAGLIE DI VOLTRI</v>
      </c>
      <c r="C311" t="str">
        <f t="shared" si="20"/>
        <v>2</v>
      </c>
      <c r="D311">
        <v>6</v>
      </c>
      <c r="E311" t="str">
        <f>"1"</f>
        <v>1</v>
      </c>
      <c r="F311" t="str">
        <f t="shared" si="18"/>
        <v>0000</v>
      </c>
    </row>
    <row r="312" spans="1:6">
      <c r="A312" t="str">
        <f>"T475-224"</f>
        <v>T475-224</v>
      </c>
      <c r="B312" t="str">
        <f t="shared" si="19"/>
        <v>COMUNAGLIE DI VOLTRI</v>
      </c>
      <c r="C312" t="str">
        <f t="shared" si="20"/>
        <v>2</v>
      </c>
      <c r="D312">
        <v>6</v>
      </c>
      <c r="E312" t="str">
        <f>"2"</f>
        <v>2</v>
      </c>
      <c r="F312" t="str">
        <f t="shared" si="18"/>
        <v>0000</v>
      </c>
    </row>
    <row r="313" spans="1:6">
      <c r="A313" t="str">
        <f>"T475-225"</f>
        <v>T475-225</v>
      </c>
      <c r="B313" t="str">
        <f t="shared" si="19"/>
        <v>COMUNAGLIE DI VOLTRI</v>
      </c>
      <c r="C313" t="str">
        <f t="shared" si="20"/>
        <v>2</v>
      </c>
      <c r="D313">
        <v>6</v>
      </c>
      <c r="E313" t="str">
        <f>"3"</f>
        <v>3</v>
      </c>
      <c r="F313" t="str">
        <f t="shared" si="18"/>
        <v>0000</v>
      </c>
    </row>
    <row r="314" spans="1:6">
      <c r="A314" t="str">
        <f>"T475-226"</f>
        <v>T475-226</v>
      </c>
      <c r="B314" t="str">
        <f t="shared" si="19"/>
        <v>COMUNAGLIE DI VOLTRI</v>
      </c>
      <c r="C314" t="str">
        <f t="shared" si="20"/>
        <v>2</v>
      </c>
      <c r="D314">
        <v>6</v>
      </c>
      <c r="E314" t="str">
        <f>"4"</f>
        <v>4</v>
      </c>
      <c r="F314" t="str">
        <f t="shared" si="18"/>
        <v>0000</v>
      </c>
    </row>
    <row r="315" spans="1:6">
      <c r="A315" t="str">
        <f>"T475-227"</f>
        <v>T475-227</v>
      </c>
      <c r="B315" t="str">
        <f t="shared" si="19"/>
        <v>COMUNAGLIE DI VOLTRI</v>
      </c>
      <c r="C315" t="str">
        <f t="shared" si="20"/>
        <v>2</v>
      </c>
      <c r="D315">
        <v>6</v>
      </c>
      <c r="E315" t="str">
        <f>"5"</f>
        <v>5</v>
      </c>
      <c r="F315" t="str">
        <f t="shared" si="18"/>
        <v>0000</v>
      </c>
    </row>
    <row r="316" spans="1:6">
      <c r="A316" t="str">
        <f>"T475-228"</f>
        <v>T475-228</v>
      </c>
      <c r="B316" t="str">
        <f t="shared" si="19"/>
        <v>COMUNAGLIE DI VOLTRI</v>
      </c>
      <c r="C316" t="str">
        <f t="shared" si="20"/>
        <v>2</v>
      </c>
      <c r="D316">
        <v>6</v>
      </c>
      <c r="E316" t="str">
        <f>"6"</f>
        <v>6</v>
      </c>
      <c r="F316" t="str">
        <f t="shared" si="18"/>
        <v>0000</v>
      </c>
    </row>
    <row r="317" spans="1:6">
      <c r="A317" t="str">
        <f>"T475-229"</f>
        <v>T475-229</v>
      </c>
      <c r="B317" t="str">
        <f t="shared" si="19"/>
        <v>COMUNAGLIE DI VOLTRI</v>
      </c>
      <c r="C317" t="str">
        <f t="shared" si="20"/>
        <v>2</v>
      </c>
      <c r="D317">
        <v>6</v>
      </c>
      <c r="E317" t="str">
        <f>"7"</f>
        <v>7</v>
      </c>
      <c r="F317" t="str">
        <f t="shared" si="18"/>
        <v>0000</v>
      </c>
    </row>
    <row r="318" spans="1:6">
      <c r="A318" t="str">
        <f>"T475-230"</f>
        <v>T475-230</v>
      </c>
      <c r="B318" t="str">
        <f t="shared" si="19"/>
        <v>COMUNAGLIE DI VOLTRI</v>
      </c>
      <c r="C318" t="str">
        <f t="shared" si="20"/>
        <v>2</v>
      </c>
      <c r="D318">
        <v>6</v>
      </c>
      <c r="E318" t="str">
        <f>"8"</f>
        <v>8</v>
      </c>
      <c r="F318" t="str">
        <f t="shared" si="18"/>
        <v>0000</v>
      </c>
    </row>
    <row r="319" spans="1:6">
      <c r="A319" t="str">
        <f>"T475-231"</f>
        <v>T475-231</v>
      </c>
      <c r="B319" t="str">
        <f t="shared" si="19"/>
        <v>COMUNAGLIE DI VOLTRI</v>
      </c>
      <c r="C319" t="str">
        <f t="shared" si="20"/>
        <v>2</v>
      </c>
      <c r="D319">
        <v>6</v>
      </c>
      <c r="E319" t="str">
        <f>"9"</f>
        <v>9</v>
      </c>
      <c r="F319" t="str">
        <f t="shared" si="18"/>
        <v>0000</v>
      </c>
    </row>
    <row r="320" spans="1:6">
      <c r="A320" t="str">
        <f>"T475-232"</f>
        <v>T475-232</v>
      </c>
      <c r="B320" t="str">
        <f t="shared" si="19"/>
        <v>COMUNAGLIE DI VOLTRI</v>
      </c>
      <c r="C320" t="str">
        <f t="shared" si="20"/>
        <v>2</v>
      </c>
      <c r="D320">
        <v>6</v>
      </c>
      <c r="E320" t="str">
        <f>"16"</f>
        <v>16</v>
      </c>
      <c r="F320" t="str">
        <f t="shared" si="18"/>
        <v>0000</v>
      </c>
    </row>
    <row r="321" spans="1:6">
      <c r="A321" t="str">
        <f>"T475-233"</f>
        <v>T475-233</v>
      </c>
      <c r="B321" t="str">
        <f t="shared" si="19"/>
        <v>COMUNAGLIE DI VOLTRI</v>
      </c>
      <c r="C321" t="str">
        <f t="shared" si="20"/>
        <v>2</v>
      </c>
      <c r="D321">
        <v>6</v>
      </c>
      <c r="E321" t="str">
        <f>"17"</f>
        <v>17</v>
      </c>
      <c r="F321" t="str">
        <f t="shared" si="18"/>
        <v>0000</v>
      </c>
    </row>
    <row r="322" spans="1:6">
      <c r="A322" t="str">
        <f>"T475-234"</f>
        <v>T475-234</v>
      </c>
      <c r="B322" t="str">
        <f t="shared" si="19"/>
        <v>COMUNAGLIE DI VOLTRI</v>
      </c>
      <c r="C322" t="str">
        <f t="shared" si="20"/>
        <v>2</v>
      </c>
      <c r="D322">
        <v>6</v>
      </c>
      <c r="E322" t="str">
        <f>"18"</f>
        <v>18</v>
      </c>
      <c r="F322" t="str">
        <f t="shared" ref="F322:F385" si="21">"0000"</f>
        <v>0000</v>
      </c>
    </row>
    <row r="323" spans="1:6">
      <c r="A323" t="str">
        <f>"T475-235"</f>
        <v>T475-235</v>
      </c>
      <c r="B323" t="str">
        <f t="shared" si="19"/>
        <v>COMUNAGLIE DI VOLTRI</v>
      </c>
      <c r="C323" t="str">
        <f t="shared" si="20"/>
        <v>2</v>
      </c>
      <c r="D323">
        <v>6</v>
      </c>
      <c r="E323" t="str">
        <f>"19"</f>
        <v>19</v>
      </c>
      <c r="F323" t="str">
        <f t="shared" si="21"/>
        <v>0000</v>
      </c>
    </row>
    <row r="324" spans="1:6">
      <c r="A324" t="str">
        <f>"T475-236"</f>
        <v>T475-236</v>
      </c>
      <c r="B324" t="str">
        <f t="shared" si="19"/>
        <v>COMUNAGLIE DI VOLTRI</v>
      </c>
      <c r="C324" t="str">
        <f t="shared" si="20"/>
        <v>2</v>
      </c>
      <c r="D324">
        <v>6</v>
      </c>
      <c r="E324" t="str">
        <f>"20"</f>
        <v>20</v>
      </c>
      <c r="F324" t="str">
        <f t="shared" si="21"/>
        <v>0000</v>
      </c>
    </row>
    <row r="325" spans="1:6">
      <c r="A325" t="str">
        <f>"T475-237"</f>
        <v>T475-237</v>
      </c>
      <c r="B325" t="str">
        <f t="shared" si="19"/>
        <v>COMUNAGLIE DI VOLTRI</v>
      </c>
      <c r="C325" t="str">
        <f t="shared" si="20"/>
        <v>2</v>
      </c>
      <c r="D325">
        <v>6</v>
      </c>
      <c r="E325" t="str">
        <f>"21"</f>
        <v>21</v>
      </c>
      <c r="F325" t="str">
        <f t="shared" si="21"/>
        <v>0000</v>
      </c>
    </row>
    <row r="326" spans="1:6">
      <c r="A326" t="str">
        <f>"T475-238"</f>
        <v>T475-238</v>
      </c>
      <c r="B326" t="str">
        <f t="shared" si="19"/>
        <v>COMUNAGLIE DI VOLTRI</v>
      </c>
      <c r="C326" t="str">
        <f t="shared" si="20"/>
        <v>2</v>
      </c>
      <c r="D326">
        <v>6</v>
      </c>
      <c r="E326" t="str">
        <f>"22"</f>
        <v>22</v>
      </c>
      <c r="F326" t="str">
        <f t="shared" si="21"/>
        <v>0000</v>
      </c>
    </row>
    <row r="327" spans="1:6">
      <c r="A327" t="str">
        <f>"T475-239"</f>
        <v>T475-239</v>
      </c>
      <c r="B327" t="str">
        <f t="shared" si="19"/>
        <v>COMUNAGLIE DI VOLTRI</v>
      </c>
      <c r="C327" t="str">
        <f t="shared" si="20"/>
        <v>2</v>
      </c>
      <c r="D327">
        <v>6</v>
      </c>
      <c r="E327" t="str">
        <f>"23"</f>
        <v>23</v>
      </c>
      <c r="F327" t="str">
        <f t="shared" si="21"/>
        <v>0000</v>
      </c>
    </row>
    <row r="328" spans="1:6">
      <c r="A328" t="str">
        <f>"T475-240"</f>
        <v>T475-240</v>
      </c>
      <c r="B328" t="str">
        <f t="shared" si="19"/>
        <v>COMUNAGLIE DI VOLTRI</v>
      </c>
      <c r="C328" t="str">
        <f t="shared" si="20"/>
        <v>2</v>
      </c>
      <c r="D328">
        <v>6</v>
      </c>
      <c r="E328" t="str">
        <f>"24"</f>
        <v>24</v>
      </c>
      <c r="F328" t="str">
        <f t="shared" si="21"/>
        <v>0000</v>
      </c>
    </row>
    <row r="329" spans="1:6">
      <c r="A329" t="str">
        <f>"T475-241"</f>
        <v>T475-241</v>
      </c>
      <c r="B329" t="str">
        <f t="shared" si="19"/>
        <v>COMUNAGLIE DI VOLTRI</v>
      </c>
      <c r="C329" t="str">
        <f t="shared" si="20"/>
        <v>2</v>
      </c>
      <c r="D329">
        <v>6</v>
      </c>
      <c r="E329" t="str">
        <f>"29"</f>
        <v>29</v>
      </c>
      <c r="F329" t="str">
        <f t="shared" si="21"/>
        <v>0000</v>
      </c>
    </row>
    <row r="330" spans="1:6">
      <c r="A330" t="str">
        <f>"T475-242"</f>
        <v>T475-242</v>
      </c>
      <c r="B330" t="str">
        <f t="shared" si="19"/>
        <v>COMUNAGLIE DI VOLTRI</v>
      </c>
      <c r="C330" t="str">
        <f t="shared" si="20"/>
        <v>2</v>
      </c>
      <c r="D330">
        <v>6</v>
      </c>
      <c r="E330" t="str">
        <f>"30"</f>
        <v>30</v>
      </c>
      <c r="F330" t="str">
        <f t="shared" si="21"/>
        <v>0000</v>
      </c>
    </row>
    <row r="331" spans="1:6">
      <c r="A331" t="str">
        <f>"T475-243"</f>
        <v>T475-243</v>
      </c>
      <c r="B331" t="str">
        <f t="shared" si="19"/>
        <v>COMUNAGLIE DI VOLTRI</v>
      </c>
      <c r="C331" t="str">
        <f t="shared" si="20"/>
        <v>2</v>
      </c>
      <c r="D331">
        <v>6</v>
      </c>
      <c r="E331" t="str">
        <f>"31"</f>
        <v>31</v>
      </c>
      <c r="F331" t="str">
        <f t="shared" si="21"/>
        <v>0000</v>
      </c>
    </row>
    <row r="332" spans="1:6">
      <c r="A332" t="str">
        <f>"T475-244"</f>
        <v>T475-244</v>
      </c>
      <c r="B332" t="str">
        <f t="shared" si="19"/>
        <v>COMUNAGLIE DI VOLTRI</v>
      </c>
      <c r="C332" t="str">
        <f t="shared" si="20"/>
        <v>2</v>
      </c>
      <c r="D332">
        <v>6</v>
      </c>
      <c r="E332" t="str">
        <f>"32"</f>
        <v>32</v>
      </c>
      <c r="F332" t="str">
        <f t="shared" si="21"/>
        <v>0000</v>
      </c>
    </row>
    <row r="333" spans="1:6">
      <c r="A333" t="str">
        <f>"T475-245"</f>
        <v>T475-245</v>
      </c>
      <c r="B333" t="str">
        <f t="shared" si="19"/>
        <v>COMUNAGLIE DI VOLTRI</v>
      </c>
      <c r="C333" t="str">
        <f t="shared" si="20"/>
        <v>2</v>
      </c>
      <c r="D333">
        <v>6</v>
      </c>
      <c r="E333" t="str">
        <f>"33"</f>
        <v>33</v>
      </c>
      <c r="F333" t="str">
        <f t="shared" si="21"/>
        <v>0000</v>
      </c>
    </row>
    <row r="334" spans="1:6">
      <c r="A334" t="str">
        <f>"T475-246"</f>
        <v>T475-246</v>
      </c>
      <c r="B334" t="str">
        <f t="shared" si="19"/>
        <v>COMUNAGLIE DI VOLTRI</v>
      </c>
      <c r="C334" t="str">
        <f t="shared" si="20"/>
        <v>2</v>
      </c>
      <c r="D334">
        <v>6</v>
      </c>
      <c r="E334" t="str">
        <f>"34"</f>
        <v>34</v>
      </c>
      <c r="F334" t="str">
        <f t="shared" si="21"/>
        <v>0000</v>
      </c>
    </row>
    <row r="335" spans="1:6">
      <c r="A335" t="str">
        <f>"T475-247"</f>
        <v>T475-247</v>
      </c>
      <c r="B335" t="str">
        <f t="shared" si="19"/>
        <v>COMUNAGLIE DI VOLTRI</v>
      </c>
      <c r="C335" t="str">
        <f t="shared" si="20"/>
        <v>2</v>
      </c>
      <c r="D335">
        <v>6</v>
      </c>
      <c r="E335" t="str">
        <f>"35"</f>
        <v>35</v>
      </c>
      <c r="F335" t="str">
        <f t="shared" si="21"/>
        <v>0000</v>
      </c>
    </row>
    <row r="336" spans="1:6">
      <c r="A336" t="str">
        <f>"T475-248"</f>
        <v>T475-248</v>
      </c>
      <c r="B336" t="str">
        <f t="shared" si="19"/>
        <v>COMUNAGLIE DI VOLTRI</v>
      </c>
      <c r="C336" t="str">
        <f t="shared" si="20"/>
        <v>2</v>
      </c>
      <c r="D336">
        <v>6</v>
      </c>
      <c r="E336" t="str">
        <f>"36"</f>
        <v>36</v>
      </c>
      <c r="F336" t="str">
        <f t="shared" si="21"/>
        <v>0000</v>
      </c>
    </row>
    <row r="337" spans="1:6">
      <c r="A337" t="str">
        <f>"T475-249"</f>
        <v>T475-249</v>
      </c>
      <c r="B337" t="str">
        <f t="shared" si="19"/>
        <v>COMUNAGLIE DI VOLTRI</v>
      </c>
      <c r="C337" t="str">
        <f t="shared" si="20"/>
        <v>2</v>
      </c>
      <c r="D337">
        <v>6</v>
      </c>
      <c r="E337" t="str">
        <f>"37"</f>
        <v>37</v>
      </c>
      <c r="F337" t="str">
        <f t="shared" si="21"/>
        <v>0000</v>
      </c>
    </row>
    <row r="338" spans="1:6">
      <c r="A338" t="str">
        <f>"T475-250"</f>
        <v>T475-250</v>
      </c>
      <c r="B338" t="str">
        <f t="shared" si="19"/>
        <v>COMUNAGLIE DI VOLTRI</v>
      </c>
      <c r="C338" t="str">
        <f t="shared" si="20"/>
        <v>2</v>
      </c>
      <c r="D338">
        <v>6</v>
      </c>
      <c r="E338" t="str">
        <f>"39"</f>
        <v>39</v>
      </c>
      <c r="F338" t="str">
        <f t="shared" si="21"/>
        <v>0000</v>
      </c>
    </row>
    <row r="339" spans="1:6">
      <c r="A339" t="str">
        <f>"T475-251"</f>
        <v>T475-251</v>
      </c>
      <c r="B339" t="str">
        <f t="shared" si="19"/>
        <v>COMUNAGLIE DI VOLTRI</v>
      </c>
      <c r="C339" t="str">
        <f t="shared" si="20"/>
        <v>2</v>
      </c>
      <c r="D339">
        <v>6</v>
      </c>
      <c r="E339" t="str">
        <f>"40"</f>
        <v>40</v>
      </c>
      <c r="F339" t="str">
        <f t="shared" si="21"/>
        <v>0000</v>
      </c>
    </row>
    <row r="340" spans="1:6">
      <c r="A340" t="str">
        <f>"T475-252"</f>
        <v>T475-252</v>
      </c>
      <c r="B340" t="str">
        <f t="shared" si="19"/>
        <v>COMUNAGLIE DI VOLTRI</v>
      </c>
      <c r="C340" t="str">
        <f t="shared" si="20"/>
        <v>2</v>
      </c>
      <c r="D340">
        <v>6</v>
      </c>
      <c r="E340" t="str">
        <f>"41"</f>
        <v>41</v>
      </c>
      <c r="F340" t="str">
        <f t="shared" si="21"/>
        <v>0000</v>
      </c>
    </row>
    <row r="341" spans="1:6">
      <c r="A341" t="str">
        <f>"T475-253"</f>
        <v>T475-253</v>
      </c>
      <c r="B341" t="str">
        <f t="shared" si="19"/>
        <v>COMUNAGLIE DI VOLTRI</v>
      </c>
      <c r="C341" t="str">
        <f t="shared" si="20"/>
        <v>2</v>
      </c>
      <c r="D341">
        <v>6</v>
      </c>
      <c r="E341" t="str">
        <f>"42"</f>
        <v>42</v>
      </c>
      <c r="F341" t="str">
        <f t="shared" si="21"/>
        <v>0000</v>
      </c>
    </row>
    <row r="342" spans="1:6">
      <c r="A342" t="str">
        <f>"T475-254"</f>
        <v>T475-254</v>
      </c>
      <c r="B342" t="str">
        <f t="shared" si="19"/>
        <v>COMUNAGLIE DI VOLTRI</v>
      </c>
      <c r="C342" t="str">
        <f t="shared" si="20"/>
        <v>2</v>
      </c>
      <c r="D342">
        <v>6</v>
      </c>
      <c r="E342" t="str">
        <f>"43"</f>
        <v>43</v>
      </c>
      <c r="F342" t="str">
        <f t="shared" si="21"/>
        <v>0000</v>
      </c>
    </row>
    <row r="343" spans="1:6">
      <c r="A343" t="str">
        <f>"T475-255"</f>
        <v>T475-255</v>
      </c>
      <c r="B343" t="str">
        <f t="shared" si="19"/>
        <v>COMUNAGLIE DI VOLTRI</v>
      </c>
      <c r="C343" t="str">
        <f t="shared" si="20"/>
        <v>2</v>
      </c>
      <c r="D343">
        <v>6</v>
      </c>
      <c r="E343" t="str">
        <f>"44"</f>
        <v>44</v>
      </c>
      <c r="F343" t="str">
        <f t="shared" si="21"/>
        <v>0000</v>
      </c>
    </row>
    <row r="344" spans="1:6">
      <c r="A344" t="str">
        <f>"T475-256"</f>
        <v>T475-256</v>
      </c>
      <c r="B344" t="str">
        <f t="shared" si="19"/>
        <v>COMUNAGLIE DI VOLTRI</v>
      </c>
      <c r="C344" t="str">
        <f t="shared" si="20"/>
        <v>2</v>
      </c>
      <c r="D344">
        <v>6</v>
      </c>
      <c r="E344" t="str">
        <f>"45"</f>
        <v>45</v>
      </c>
      <c r="F344" t="str">
        <f t="shared" si="21"/>
        <v>0000</v>
      </c>
    </row>
    <row r="345" spans="1:6">
      <c r="A345" t="str">
        <f>"T475-257"</f>
        <v>T475-257</v>
      </c>
      <c r="B345" t="str">
        <f t="shared" ref="B345:B408" si="22">"COMUNAGLIE DI VOLTRI"</f>
        <v>COMUNAGLIE DI VOLTRI</v>
      </c>
      <c r="C345" t="str">
        <f t="shared" ref="C345:C381" si="23">"2"</f>
        <v>2</v>
      </c>
      <c r="D345">
        <v>6</v>
      </c>
      <c r="E345" t="str">
        <f>"46"</f>
        <v>46</v>
      </c>
      <c r="F345" t="str">
        <f t="shared" si="21"/>
        <v>0000</v>
      </c>
    </row>
    <row r="346" spans="1:6">
      <c r="A346" t="str">
        <f>"T475-258"</f>
        <v>T475-258</v>
      </c>
      <c r="B346" t="str">
        <f t="shared" si="22"/>
        <v>COMUNAGLIE DI VOLTRI</v>
      </c>
      <c r="C346" t="str">
        <f t="shared" si="23"/>
        <v>2</v>
      </c>
      <c r="D346">
        <v>6</v>
      </c>
      <c r="E346" t="str">
        <f>"48"</f>
        <v>48</v>
      </c>
      <c r="F346" t="str">
        <f t="shared" si="21"/>
        <v>0000</v>
      </c>
    </row>
    <row r="347" spans="1:6">
      <c r="A347" t="str">
        <f>"T475-259"</f>
        <v>T475-259</v>
      </c>
      <c r="B347" t="str">
        <f t="shared" si="22"/>
        <v>COMUNAGLIE DI VOLTRI</v>
      </c>
      <c r="C347" t="str">
        <f t="shared" si="23"/>
        <v>2</v>
      </c>
      <c r="D347">
        <v>6</v>
      </c>
      <c r="E347" t="str">
        <f>"49"</f>
        <v>49</v>
      </c>
      <c r="F347" t="str">
        <f t="shared" si="21"/>
        <v>0000</v>
      </c>
    </row>
    <row r="348" spans="1:6">
      <c r="A348" t="str">
        <f>"T475-260"</f>
        <v>T475-260</v>
      </c>
      <c r="B348" t="str">
        <f t="shared" si="22"/>
        <v>COMUNAGLIE DI VOLTRI</v>
      </c>
      <c r="C348" t="str">
        <f t="shared" si="23"/>
        <v>2</v>
      </c>
      <c r="D348">
        <v>6</v>
      </c>
      <c r="E348" t="str">
        <f>"50"</f>
        <v>50</v>
      </c>
      <c r="F348" t="str">
        <f t="shared" si="21"/>
        <v>0000</v>
      </c>
    </row>
    <row r="349" spans="1:6">
      <c r="A349" t="str">
        <f>"T475-261"</f>
        <v>T475-261</v>
      </c>
      <c r="B349" t="str">
        <f t="shared" si="22"/>
        <v>COMUNAGLIE DI VOLTRI</v>
      </c>
      <c r="C349" t="str">
        <f t="shared" si="23"/>
        <v>2</v>
      </c>
      <c r="D349">
        <v>6</v>
      </c>
      <c r="E349" t="str">
        <f>"51"</f>
        <v>51</v>
      </c>
      <c r="F349" t="str">
        <f t="shared" si="21"/>
        <v>0000</v>
      </c>
    </row>
    <row r="350" spans="1:6">
      <c r="A350" t="str">
        <f>"T475-262"</f>
        <v>T475-262</v>
      </c>
      <c r="B350" t="str">
        <f t="shared" si="22"/>
        <v>COMUNAGLIE DI VOLTRI</v>
      </c>
      <c r="C350" t="str">
        <f t="shared" si="23"/>
        <v>2</v>
      </c>
      <c r="D350">
        <v>6</v>
      </c>
      <c r="E350" t="str">
        <f>"52"</f>
        <v>52</v>
      </c>
      <c r="F350" t="str">
        <f t="shared" si="21"/>
        <v>0000</v>
      </c>
    </row>
    <row r="351" spans="1:6">
      <c r="A351" t="str">
        <f>"T475-263"</f>
        <v>T475-263</v>
      </c>
      <c r="B351" t="str">
        <f t="shared" si="22"/>
        <v>COMUNAGLIE DI VOLTRI</v>
      </c>
      <c r="C351" t="str">
        <f t="shared" si="23"/>
        <v>2</v>
      </c>
      <c r="D351">
        <v>6</v>
      </c>
      <c r="E351" t="str">
        <f>"53"</f>
        <v>53</v>
      </c>
      <c r="F351" t="str">
        <f t="shared" si="21"/>
        <v>0000</v>
      </c>
    </row>
    <row r="352" spans="1:6">
      <c r="A352" t="str">
        <f>"T475-264"</f>
        <v>T475-264</v>
      </c>
      <c r="B352" t="str">
        <f t="shared" si="22"/>
        <v>COMUNAGLIE DI VOLTRI</v>
      </c>
      <c r="C352" t="str">
        <f t="shared" si="23"/>
        <v>2</v>
      </c>
      <c r="D352">
        <v>6</v>
      </c>
      <c r="E352" t="str">
        <f>"54"</f>
        <v>54</v>
      </c>
      <c r="F352" t="str">
        <f t="shared" si="21"/>
        <v>0000</v>
      </c>
    </row>
    <row r="353" spans="1:6">
      <c r="A353" t="str">
        <f>"T475-265"</f>
        <v>T475-265</v>
      </c>
      <c r="B353" t="str">
        <f t="shared" si="22"/>
        <v>COMUNAGLIE DI VOLTRI</v>
      </c>
      <c r="C353" t="str">
        <f t="shared" si="23"/>
        <v>2</v>
      </c>
      <c r="D353">
        <v>6</v>
      </c>
      <c r="E353" t="str">
        <f>"55"</f>
        <v>55</v>
      </c>
      <c r="F353" t="str">
        <f t="shared" si="21"/>
        <v>0000</v>
      </c>
    </row>
    <row r="354" spans="1:6">
      <c r="A354" t="str">
        <f>"T475-266"</f>
        <v>T475-266</v>
      </c>
      <c r="B354" t="str">
        <f t="shared" si="22"/>
        <v>COMUNAGLIE DI VOLTRI</v>
      </c>
      <c r="C354" t="str">
        <f t="shared" si="23"/>
        <v>2</v>
      </c>
      <c r="D354">
        <v>6</v>
      </c>
      <c r="E354" t="str">
        <f>"56"</f>
        <v>56</v>
      </c>
      <c r="F354" t="str">
        <f t="shared" si="21"/>
        <v>0000</v>
      </c>
    </row>
    <row r="355" spans="1:6">
      <c r="A355" t="str">
        <f>"T475-267"</f>
        <v>T475-267</v>
      </c>
      <c r="B355" t="str">
        <f t="shared" si="22"/>
        <v>COMUNAGLIE DI VOLTRI</v>
      </c>
      <c r="C355" t="str">
        <f t="shared" si="23"/>
        <v>2</v>
      </c>
      <c r="D355">
        <v>7</v>
      </c>
      <c r="E355" t="str">
        <f>"1"</f>
        <v>1</v>
      </c>
      <c r="F355" t="str">
        <f t="shared" si="21"/>
        <v>0000</v>
      </c>
    </row>
    <row r="356" spans="1:6">
      <c r="A356" t="str">
        <f>"T475-268"</f>
        <v>T475-268</v>
      </c>
      <c r="B356" t="str">
        <f t="shared" si="22"/>
        <v>COMUNAGLIE DI VOLTRI</v>
      </c>
      <c r="C356" t="str">
        <f t="shared" si="23"/>
        <v>2</v>
      </c>
      <c r="D356">
        <v>7</v>
      </c>
      <c r="E356" t="str">
        <f>"2"</f>
        <v>2</v>
      </c>
      <c r="F356" t="str">
        <f t="shared" si="21"/>
        <v>0000</v>
      </c>
    </row>
    <row r="357" spans="1:6">
      <c r="A357" t="str">
        <f>"T475-269"</f>
        <v>T475-269</v>
      </c>
      <c r="B357" t="str">
        <f t="shared" si="22"/>
        <v>COMUNAGLIE DI VOLTRI</v>
      </c>
      <c r="C357" t="str">
        <f t="shared" si="23"/>
        <v>2</v>
      </c>
      <c r="D357">
        <v>7</v>
      </c>
      <c r="E357" t="str">
        <f>"3"</f>
        <v>3</v>
      </c>
      <c r="F357" t="str">
        <f t="shared" si="21"/>
        <v>0000</v>
      </c>
    </row>
    <row r="358" spans="1:6">
      <c r="A358" t="str">
        <f>"T475-270"</f>
        <v>T475-270</v>
      </c>
      <c r="B358" t="str">
        <f t="shared" si="22"/>
        <v>COMUNAGLIE DI VOLTRI</v>
      </c>
      <c r="C358" t="str">
        <f t="shared" si="23"/>
        <v>2</v>
      </c>
      <c r="D358">
        <v>7</v>
      </c>
      <c r="E358" t="str">
        <f>"4"</f>
        <v>4</v>
      </c>
      <c r="F358" t="str">
        <f t="shared" si="21"/>
        <v>0000</v>
      </c>
    </row>
    <row r="359" spans="1:6">
      <c r="A359" t="str">
        <f>"T475-271"</f>
        <v>T475-271</v>
      </c>
      <c r="B359" t="str">
        <f t="shared" si="22"/>
        <v>COMUNAGLIE DI VOLTRI</v>
      </c>
      <c r="C359" t="str">
        <f t="shared" si="23"/>
        <v>2</v>
      </c>
      <c r="D359">
        <v>7</v>
      </c>
      <c r="E359" t="str">
        <f>"5"</f>
        <v>5</v>
      </c>
      <c r="F359" t="str">
        <f t="shared" si="21"/>
        <v>0000</v>
      </c>
    </row>
    <row r="360" spans="1:6">
      <c r="A360" t="str">
        <f>"T475-272"</f>
        <v>T475-272</v>
      </c>
      <c r="B360" t="str">
        <f t="shared" si="22"/>
        <v>COMUNAGLIE DI VOLTRI</v>
      </c>
      <c r="C360" t="str">
        <f t="shared" si="23"/>
        <v>2</v>
      </c>
      <c r="D360">
        <v>7</v>
      </c>
      <c r="E360" t="str">
        <f>"6"</f>
        <v>6</v>
      </c>
      <c r="F360" t="str">
        <f t="shared" si="21"/>
        <v>0000</v>
      </c>
    </row>
    <row r="361" spans="1:6">
      <c r="A361" t="str">
        <f>"T475-273"</f>
        <v>T475-273</v>
      </c>
      <c r="B361" t="str">
        <f t="shared" si="22"/>
        <v>COMUNAGLIE DI VOLTRI</v>
      </c>
      <c r="C361" t="str">
        <f t="shared" si="23"/>
        <v>2</v>
      </c>
      <c r="D361">
        <v>7</v>
      </c>
      <c r="E361" t="str">
        <f>"7"</f>
        <v>7</v>
      </c>
      <c r="F361" t="str">
        <f t="shared" si="21"/>
        <v>0000</v>
      </c>
    </row>
    <row r="362" spans="1:6">
      <c r="A362" t="str">
        <f>"T475-274"</f>
        <v>T475-274</v>
      </c>
      <c r="B362" t="str">
        <f t="shared" si="22"/>
        <v>COMUNAGLIE DI VOLTRI</v>
      </c>
      <c r="C362" t="str">
        <f t="shared" si="23"/>
        <v>2</v>
      </c>
      <c r="D362">
        <v>7</v>
      </c>
      <c r="E362" t="str">
        <f>"8"</f>
        <v>8</v>
      </c>
      <c r="F362" t="str">
        <f t="shared" si="21"/>
        <v>0000</v>
      </c>
    </row>
    <row r="363" spans="1:6">
      <c r="A363" t="str">
        <f>"T475-275"</f>
        <v>T475-275</v>
      </c>
      <c r="B363" t="str">
        <f t="shared" si="22"/>
        <v>COMUNAGLIE DI VOLTRI</v>
      </c>
      <c r="C363" t="str">
        <f t="shared" si="23"/>
        <v>2</v>
      </c>
      <c r="D363">
        <v>7</v>
      </c>
      <c r="E363" t="str">
        <f>"23"</f>
        <v>23</v>
      </c>
      <c r="F363" t="str">
        <f t="shared" si="21"/>
        <v>0000</v>
      </c>
    </row>
    <row r="364" spans="1:6">
      <c r="A364" t="str">
        <f>"T475-276"</f>
        <v>T475-276</v>
      </c>
      <c r="B364" t="str">
        <f t="shared" si="22"/>
        <v>COMUNAGLIE DI VOLTRI</v>
      </c>
      <c r="C364" t="str">
        <f t="shared" si="23"/>
        <v>2</v>
      </c>
      <c r="D364">
        <v>7</v>
      </c>
      <c r="E364" t="str">
        <f>"24"</f>
        <v>24</v>
      </c>
      <c r="F364" t="str">
        <f t="shared" si="21"/>
        <v>0000</v>
      </c>
    </row>
    <row r="365" spans="1:6">
      <c r="A365" t="str">
        <f>"T475-277"</f>
        <v>T475-277</v>
      </c>
      <c r="B365" t="str">
        <f t="shared" si="22"/>
        <v>COMUNAGLIE DI VOLTRI</v>
      </c>
      <c r="C365" t="str">
        <f t="shared" si="23"/>
        <v>2</v>
      </c>
      <c r="D365">
        <v>7</v>
      </c>
      <c r="E365" t="str">
        <f>"25"</f>
        <v>25</v>
      </c>
      <c r="F365" t="str">
        <f t="shared" si="21"/>
        <v>0000</v>
      </c>
    </row>
    <row r="366" spans="1:6">
      <c r="A366" t="str">
        <f>"T475-278"</f>
        <v>T475-278</v>
      </c>
      <c r="B366" t="str">
        <f t="shared" si="22"/>
        <v>COMUNAGLIE DI VOLTRI</v>
      </c>
      <c r="C366" t="str">
        <f t="shared" si="23"/>
        <v>2</v>
      </c>
      <c r="D366">
        <v>7</v>
      </c>
      <c r="E366" t="str">
        <f>"26"</f>
        <v>26</v>
      </c>
      <c r="F366" t="str">
        <f t="shared" si="21"/>
        <v>0000</v>
      </c>
    </row>
    <row r="367" spans="1:6">
      <c r="A367" t="str">
        <f>"T475-279"</f>
        <v>T475-279</v>
      </c>
      <c r="B367" t="str">
        <f t="shared" si="22"/>
        <v>COMUNAGLIE DI VOLTRI</v>
      </c>
      <c r="C367" t="str">
        <f t="shared" si="23"/>
        <v>2</v>
      </c>
      <c r="D367">
        <v>7</v>
      </c>
      <c r="E367" t="str">
        <f>"27"</f>
        <v>27</v>
      </c>
      <c r="F367" t="str">
        <f t="shared" si="21"/>
        <v>0000</v>
      </c>
    </row>
    <row r="368" spans="1:6">
      <c r="A368" t="str">
        <f>"T475-280"</f>
        <v>T475-280</v>
      </c>
      <c r="B368" t="str">
        <f t="shared" si="22"/>
        <v>COMUNAGLIE DI VOLTRI</v>
      </c>
      <c r="C368" t="str">
        <f t="shared" si="23"/>
        <v>2</v>
      </c>
      <c r="D368">
        <v>7</v>
      </c>
      <c r="E368" t="str">
        <f>"28"</f>
        <v>28</v>
      </c>
      <c r="F368" t="str">
        <f t="shared" si="21"/>
        <v>0000</v>
      </c>
    </row>
    <row r="369" spans="1:6">
      <c r="A369" t="str">
        <f>"T475-281"</f>
        <v>T475-281</v>
      </c>
      <c r="B369" t="str">
        <f t="shared" si="22"/>
        <v>COMUNAGLIE DI VOLTRI</v>
      </c>
      <c r="C369" t="str">
        <f t="shared" si="23"/>
        <v>2</v>
      </c>
      <c r="D369">
        <v>7</v>
      </c>
      <c r="E369" t="str">
        <f>"29"</f>
        <v>29</v>
      </c>
      <c r="F369" t="str">
        <f t="shared" si="21"/>
        <v>0000</v>
      </c>
    </row>
    <row r="370" spans="1:6">
      <c r="A370" t="str">
        <f>"T475-282"</f>
        <v>T475-282</v>
      </c>
      <c r="B370" t="str">
        <f t="shared" si="22"/>
        <v>COMUNAGLIE DI VOLTRI</v>
      </c>
      <c r="C370" t="str">
        <f t="shared" si="23"/>
        <v>2</v>
      </c>
      <c r="D370">
        <v>7</v>
      </c>
      <c r="E370" t="str">
        <f>"30"</f>
        <v>30</v>
      </c>
      <c r="F370" t="str">
        <f t="shared" si="21"/>
        <v>0000</v>
      </c>
    </row>
    <row r="371" spans="1:6">
      <c r="A371" t="str">
        <f>"T475-283"</f>
        <v>T475-283</v>
      </c>
      <c r="B371" t="str">
        <f t="shared" si="22"/>
        <v>COMUNAGLIE DI VOLTRI</v>
      </c>
      <c r="C371" t="str">
        <f t="shared" si="23"/>
        <v>2</v>
      </c>
      <c r="D371">
        <v>7</v>
      </c>
      <c r="E371" t="str">
        <f>"72"</f>
        <v>72</v>
      </c>
      <c r="F371" t="str">
        <f t="shared" si="21"/>
        <v>0000</v>
      </c>
    </row>
    <row r="372" spans="1:6">
      <c r="A372" t="str">
        <f>"T475-284"</f>
        <v>T475-284</v>
      </c>
      <c r="B372" t="str">
        <f t="shared" si="22"/>
        <v>COMUNAGLIE DI VOLTRI</v>
      </c>
      <c r="C372" t="str">
        <f t="shared" si="23"/>
        <v>2</v>
      </c>
      <c r="D372">
        <v>7</v>
      </c>
      <c r="E372" t="str">
        <f>"74"</f>
        <v>74</v>
      </c>
      <c r="F372" t="str">
        <f t="shared" si="21"/>
        <v>0000</v>
      </c>
    </row>
    <row r="373" spans="1:6">
      <c r="A373" t="str">
        <f>"T475-285"</f>
        <v>T475-285</v>
      </c>
      <c r="B373" t="str">
        <f t="shared" si="22"/>
        <v>COMUNAGLIE DI VOLTRI</v>
      </c>
      <c r="C373" t="str">
        <f t="shared" si="23"/>
        <v>2</v>
      </c>
      <c r="D373">
        <v>7</v>
      </c>
      <c r="E373" t="str">
        <f>"106"</f>
        <v>106</v>
      </c>
      <c r="F373" t="str">
        <f t="shared" si="21"/>
        <v>0000</v>
      </c>
    </row>
    <row r="374" spans="1:6">
      <c r="A374" t="str">
        <f>"T475-286"</f>
        <v>T475-286</v>
      </c>
      <c r="B374" t="str">
        <f t="shared" si="22"/>
        <v>COMUNAGLIE DI VOLTRI</v>
      </c>
      <c r="C374" t="str">
        <f t="shared" si="23"/>
        <v>2</v>
      </c>
      <c r="D374">
        <v>7</v>
      </c>
      <c r="E374" t="str">
        <f>"107"</f>
        <v>107</v>
      </c>
      <c r="F374" t="str">
        <f t="shared" si="21"/>
        <v>0000</v>
      </c>
    </row>
    <row r="375" spans="1:6">
      <c r="A375" t="str">
        <f>"T475-287"</f>
        <v>T475-287</v>
      </c>
      <c r="B375" t="str">
        <f t="shared" si="22"/>
        <v>COMUNAGLIE DI VOLTRI</v>
      </c>
      <c r="C375" t="str">
        <f t="shared" si="23"/>
        <v>2</v>
      </c>
      <c r="D375">
        <v>7</v>
      </c>
      <c r="E375" t="str">
        <f>"108"</f>
        <v>108</v>
      </c>
      <c r="F375" t="str">
        <f t="shared" si="21"/>
        <v>0000</v>
      </c>
    </row>
    <row r="376" spans="1:6">
      <c r="A376" t="str">
        <f>"T475-288"</f>
        <v>T475-288</v>
      </c>
      <c r="B376" t="str">
        <f t="shared" si="22"/>
        <v>COMUNAGLIE DI VOLTRI</v>
      </c>
      <c r="C376" t="str">
        <f t="shared" si="23"/>
        <v>2</v>
      </c>
      <c r="D376">
        <v>7</v>
      </c>
      <c r="E376" t="str">
        <f>"109"</f>
        <v>109</v>
      </c>
      <c r="F376" t="str">
        <f t="shared" si="21"/>
        <v>0000</v>
      </c>
    </row>
    <row r="377" spans="1:6">
      <c r="A377" t="str">
        <f>"T475-289"</f>
        <v>T475-289</v>
      </c>
      <c r="B377" t="str">
        <f t="shared" si="22"/>
        <v>COMUNAGLIE DI VOLTRI</v>
      </c>
      <c r="C377" t="str">
        <f t="shared" si="23"/>
        <v>2</v>
      </c>
      <c r="D377">
        <v>7</v>
      </c>
      <c r="E377" t="str">
        <f>"203"</f>
        <v>203</v>
      </c>
      <c r="F377" t="str">
        <f t="shared" si="21"/>
        <v>0000</v>
      </c>
    </row>
    <row r="378" spans="1:6">
      <c r="A378" t="str">
        <f>"T475-290"</f>
        <v>T475-290</v>
      </c>
      <c r="B378" t="str">
        <f t="shared" si="22"/>
        <v>COMUNAGLIE DI VOLTRI</v>
      </c>
      <c r="C378" t="str">
        <f t="shared" si="23"/>
        <v>2</v>
      </c>
      <c r="D378">
        <v>7</v>
      </c>
      <c r="E378" t="str">
        <f>"204"</f>
        <v>204</v>
      </c>
      <c r="F378" t="str">
        <f t="shared" si="21"/>
        <v>0000</v>
      </c>
    </row>
    <row r="379" spans="1:6">
      <c r="A379" t="str">
        <f>"T475-291"</f>
        <v>T475-291</v>
      </c>
      <c r="B379" t="str">
        <f t="shared" si="22"/>
        <v>COMUNAGLIE DI VOLTRI</v>
      </c>
      <c r="C379" t="str">
        <f t="shared" si="23"/>
        <v>2</v>
      </c>
      <c r="D379">
        <v>7</v>
      </c>
      <c r="E379" t="str">
        <f>"205"</f>
        <v>205</v>
      </c>
      <c r="F379" t="str">
        <f t="shared" si="21"/>
        <v>0000</v>
      </c>
    </row>
    <row r="380" spans="1:6">
      <c r="A380" t="str">
        <f>"T475-292"</f>
        <v>T475-292</v>
      </c>
      <c r="B380" t="str">
        <f t="shared" si="22"/>
        <v>COMUNAGLIE DI VOLTRI</v>
      </c>
      <c r="C380" t="str">
        <f t="shared" si="23"/>
        <v>2</v>
      </c>
      <c r="D380">
        <v>8</v>
      </c>
      <c r="E380" t="str">
        <f>"1"</f>
        <v>1</v>
      </c>
      <c r="F380" t="str">
        <f t="shared" si="21"/>
        <v>0000</v>
      </c>
    </row>
    <row r="381" spans="1:6">
      <c r="A381" t="str">
        <f>"T475-293"</f>
        <v>T475-293</v>
      </c>
      <c r="B381" t="str">
        <f t="shared" si="22"/>
        <v>COMUNAGLIE DI VOLTRI</v>
      </c>
      <c r="C381" t="str">
        <f t="shared" si="23"/>
        <v>2</v>
      </c>
      <c r="D381">
        <v>8</v>
      </c>
      <c r="E381" t="str">
        <f>"2"</f>
        <v>2</v>
      </c>
      <c r="F381" t="str">
        <f t="shared" si="21"/>
        <v>0000</v>
      </c>
    </row>
    <row r="382" spans="1:6">
      <c r="A382" t="str">
        <f>"T475-294"</f>
        <v>T475-294</v>
      </c>
      <c r="B382" t="str">
        <f t="shared" si="22"/>
        <v>COMUNAGLIE DI VOLTRI</v>
      </c>
      <c r="C382" t="str">
        <f>"VOL"</f>
        <v>VOL</v>
      </c>
      <c r="D382">
        <v>8</v>
      </c>
      <c r="E382" t="str">
        <f>"607"</f>
        <v>607</v>
      </c>
      <c r="F382" t="str">
        <f t="shared" si="21"/>
        <v>0000</v>
      </c>
    </row>
    <row r="383" spans="1:6">
      <c r="A383" t="str">
        <f>"T475-295"</f>
        <v>T475-295</v>
      </c>
      <c r="B383" t="str">
        <f t="shared" si="22"/>
        <v>COMUNAGLIE DI VOLTRI</v>
      </c>
      <c r="C383" t="str">
        <f t="shared" ref="C383:C446" si="24">"2"</f>
        <v>2</v>
      </c>
      <c r="D383">
        <v>8</v>
      </c>
      <c r="E383" t="str">
        <f>"4"</f>
        <v>4</v>
      </c>
      <c r="F383" t="str">
        <f t="shared" si="21"/>
        <v>0000</v>
      </c>
    </row>
    <row r="384" spans="1:6">
      <c r="A384" t="str">
        <f>"T475-296"</f>
        <v>T475-296</v>
      </c>
      <c r="B384" t="str">
        <f t="shared" si="22"/>
        <v>COMUNAGLIE DI VOLTRI</v>
      </c>
      <c r="C384" t="str">
        <f t="shared" si="24"/>
        <v>2</v>
      </c>
      <c r="D384">
        <v>8</v>
      </c>
      <c r="E384" t="str">
        <f>"5"</f>
        <v>5</v>
      </c>
      <c r="F384" t="str">
        <f t="shared" si="21"/>
        <v>0000</v>
      </c>
    </row>
    <row r="385" spans="1:6">
      <c r="A385" t="str">
        <f>"T475-297"</f>
        <v>T475-297</v>
      </c>
      <c r="B385" t="str">
        <f t="shared" si="22"/>
        <v>COMUNAGLIE DI VOLTRI</v>
      </c>
      <c r="C385" t="str">
        <f t="shared" si="24"/>
        <v>2</v>
      </c>
      <c r="D385">
        <v>8</v>
      </c>
      <c r="E385" t="str">
        <f>"14"</f>
        <v>14</v>
      </c>
      <c r="F385" t="str">
        <f t="shared" si="21"/>
        <v>0000</v>
      </c>
    </row>
    <row r="386" spans="1:6">
      <c r="A386" t="str">
        <f>"T475-298"</f>
        <v>T475-298</v>
      </c>
      <c r="B386" t="str">
        <f t="shared" si="22"/>
        <v>COMUNAGLIE DI VOLTRI</v>
      </c>
      <c r="C386" t="str">
        <f t="shared" si="24"/>
        <v>2</v>
      </c>
      <c r="D386">
        <v>8</v>
      </c>
      <c r="E386" t="str">
        <f>"17"</f>
        <v>17</v>
      </c>
      <c r="F386" t="str">
        <f t="shared" ref="F386:F449" si="25">"0000"</f>
        <v>0000</v>
      </c>
    </row>
    <row r="387" spans="1:6">
      <c r="A387" t="str">
        <f>"T475-299"</f>
        <v>T475-299</v>
      </c>
      <c r="B387" t="str">
        <f t="shared" si="22"/>
        <v>COMUNAGLIE DI VOLTRI</v>
      </c>
      <c r="C387" t="str">
        <f t="shared" si="24"/>
        <v>2</v>
      </c>
      <c r="D387">
        <v>8</v>
      </c>
      <c r="E387" t="str">
        <f>"20"</f>
        <v>20</v>
      </c>
      <c r="F387" t="str">
        <f t="shared" si="25"/>
        <v>0000</v>
      </c>
    </row>
    <row r="388" spans="1:6">
      <c r="A388" t="str">
        <f>"T475-300"</f>
        <v>T475-300</v>
      </c>
      <c r="B388" t="str">
        <f t="shared" si="22"/>
        <v>COMUNAGLIE DI VOLTRI</v>
      </c>
      <c r="C388" t="str">
        <f t="shared" si="24"/>
        <v>2</v>
      </c>
      <c r="D388">
        <v>8</v>
      </c>
      <c r="E388" t="str">
        <f>"30"</f>
        <v>30</v>
      </c>
      <c r="F388" t="str">
        <f t="shared" si="25"/>
        <v>0000</v>
      </c>
    </row>
    <row r="389" spans="1:6">
      <c r="A389" t="str">
        <f>"T475-301"</f>
        <v>T475-301</v>
      </c>
      <c r="B389" t="str">
        <f t="shared" si="22"/>
        <v>COMUNAGLIE DI VOLTRI</v>
      </c>
      <c r="C389" t="str">
        <f t="shared" si="24"/>
        <v>2</v>
      </c>
      <c r="D389">
        <v>8</v>
      </c>
      <c r="E389" t="str">
        <f>"140"</f>
        <v>140</v>
      </c>
      <c r="F389" t="str">
        <f t="shared" si="25"/>
        <v>0000</v>
      </c>
    </row>
    <row r="390" spans="1:6">
      <c r="A390" t="str">
        <f>"T475-302"</f>
        <v>T475-302</v>
      </c>
      <c r="B390" t="str">
        <f t="shared" si="22"/>
        <v>COMUNAGLIE DI VOLTRI</v>
      </c>
      <c r="C390" t="str">
        <f t="shared" si="24"/>
        <v>2</v>
      </c>
      <c r="D390">
        <v>8</v>
      </c>
      <c r="E390" t="str">
        <f>"217"</f>
        <v>217</v>
      </c>
      <c r="F390" t="str">
        <f t="shared" si="25"/>
        <v>0000</v>
      </c>
    </row>
    <row r="391" spans="1:6">
      <c r="A391" t="str">
        <f>"T475-303"</f>
        <v>T475-303</v>
      </c>
      <c r="B391" t="str">
        <f t="shared" si="22"/>
        <v>COMUNAGLIE DI VOLTRI</v>
      </c>
      <c r="C391" t="str">
        <f t="shared" si="24"/>
        <v>2</v>
      </c>
      <c r="D391">
        <v>9</v>
      </c>
      <c r="E391" t="str">
        <f>"1"</f>
        <v>1</v>
      </c>
      <c r="F391" t="str">
        <f t="shared" si="25"/>
        <v>0000</v>
      </c>
    </row>
    <row r="392" spans="1:6">
      <c r="A392" t="str">
        <f>"T475-304"</f>
        <v>T475-304</v>
      </c>
      <c r="B392" t="str">
        <f t="shared" si="22"/>
        <v>COMUNAGLIE DI VOLTRI</v>
      </c>
      <c r="C392" t="str">
        <f t="shared" si="24"/>
        <v>2</v>
      </c>
      <c r="D392">
        <v>9</v>
      </c>
      <c r="E392" t="str">
        <f>"2"</f>
        <v>2</v>
      </c>
      <c r="F392" t="str">
        <f t="shared" si="25"/>
        <v>0000</v>
      </c>
    </row>
    <row r="393" spans="1:6">
      <c r="A393" t="str">
        <f>"T475-305"</f>
        <v>T475-305</v>
      </c>
      <c r="B393" t="str">
        <f t="shared" si="22"/>
        <v>COMUNAGLIE DI VOLTRI</v>
      </c>
      <c r="C393" t="str">
        <f t="shared" si="24"/>
        <v>2</v>
      </c>
      <c r="D393">
        <v>9</v>
      </c>
      <c r="E393" t="str">
        <f>"3"</f>
        <v>3</v>
      </c>
      <c r="F393" t="str">
        <f t="shared" si="25"/>
        <v>0000</v>
      </c>
    </row>
    <row r="394" spans="1:6">
      <c r="A394" t="str">
        <f>"T475-306"</f>
        <v>T475-306</v>
      </c>
      <c r="B394" t="str">
        <f t="shared" si="22"/>
        <v>COMUNAGLIE DI VOLTRI</v>
      </c>
      <c r="C394" t="str">
        <f t="shared" si="24"/>
        <v>2</v>
      </c>
      <c r="D394">
        <v>9</v>
      </c>
      <c r="E394" t="str">
        <f>"4"</f>
        <v>4</v>
      </c>
      <c r="F394" t="str">
        <f t="shared" si="25"/>
        <v>0000</v>
      </c>
    </row>
    <row r="395" spans="1:6">
      <c r="A395" t="str">
        <f>"T475-307"</f>
        <v>T475-307</v>
      </c>
      <c r="B395" t="str">
        <f t="shared" si="22"/>
        <v>COMUNAGLIE DI VOLTRI</v>
      </c>
      <c r="C395" t="str">
        <f t="shared" si="24"/>
        <v>2</v>
      </c>
      <c r="D395">
        <v>9</v>
      </c>
      <c r="E395" t="str">
        <f>"5"</f>
        <v>5</v>
      </c>
      <c r="F395" t="str">
        <f t="shared" si="25"/>
        <v>0000</v>
      </c>
    </row>
    <row r="396" spans="1:6">
      <c r="A396" t="str">
        <f>"T475-308"</f>
        <v>T475-308</v>
      </c>
      <c r="B396" t="str">
        <f t="shared" si="22"/>
        <v>COMUNAGLIE DI VOLTRI</v>
      </c>
      <c r="C396" t="str">
        <f t="shared" si="24"/>
        <v>2</v>
      </c>
      <c r="D396">
        <v>9</v>
      </c>
      <c r="E396" t="str">
        <f>"6"</f>
        <v>6</v>
      </c>
      <c r="F396" t="str">
        <f t="shared" si="25"/>
        <v>0000</v>
      </c>
    </row>
    <row r="397" spans="1:6">
      <c r="A397" t="str">
        <f>"T475-309"</f>
        <v>T475-309</v>
      </c>
      <c r="B397" t="str">
        <f t="shared" si="22"/>
        <v>COMUNAGLIE DI VOLTRI</v>
      </c>
      <c r="C397" t="str">
        <f t="shared" si="24"/>
        <v>2</v>
      </c>
      <c r="D397">
        <v>9</v>
      </c>
      <c r="E397" t="str">
        <f>"7"</f>
        <v>7</v>
      </c>
      <c r="F397" t="str">
        <f t="shared" si="25"/>
        <v>0000</v>
      </c>
    </row>
    <row r="398" spans="1:6">
      <c r="A398" t="str">
        <f>"T475-310"</f>
        <v>T475-310</v>
      </c>
      <c r="B398" t="str">
        <f t="shared" si="22"/>
        <v>COMUNAGLIE DI VOLTRI</v>
      </c>
      <c r="C398" t="str">
        <f t="shared" si="24"/>
        <v>2</v>
      </c>
      <c r="D398">
        <v>9</v>
      </c>
      <c r="E398" t="str">
        <f>"8"</f>
        <v>8</v>
      </c>
      <c r="F398" t="str">
        <f t="shared" si="25"/>
        <v>0000</v>
      </c>
    </row>
    <row r="399" spans="1:6">
      <c r="A399" t="str">
        <f>"T475-311"</f>
        <v>T475-311</v>
      </c>
      <c r="B399" t="str">
        <f t="shared" si="22"/>
        <v>COMUNAGLIE DI VOLTRI</v>
      </c>
      <c r="C399" t="str">
        <f t="shared" si="24"/>
        <v>2</v>
      </c>
      <c r="D399">
        <v>9</v>
      </c>
      <c r="E399" t="str">
        <f>"9"</f>
        <v>9</v>
      </c>
      <c r="F399" t="str">
        <f t="shared" si="25"/>
        <v>0000</v>
      </c>
    </row>
    <row r="400" spans="1:6">
      <c r="A400" t="str">
        <f>"T475-312"</f>
        <v>T475-312</v>
      </c>
      <c r="B400" t="str">
        <f t="shared" si="22"/>
        <v>COMUNAGLIE DI VOLTRI</v>
      </c>
      <c r="C400" t="str">
        <f t="shared" si="24"/>
        <v>2</v>
      </c>
      <c r="D400">
        <v>9</v>
      </c>
      <c r="E400" t="str">
        <f>"10"</f>
        <v>10</v>
      </c>
      <c r="F400" t="str">
        <f t="shared" si="25"/>
        <v>0000</v>
      </c>
    </row>
    <row r="401" spans="1:6">
      <c r="A401" t="str">
        <f>"T475-313"</f>
        <v>T475-313</v>
      </c>
      <c r="B401" t="str">
        <f t="shared" si="22"/>
        <v>COMUNAGLIE DI VOLTRI</v>
      </c>
      <c r="C401" t="str">
        <f t="shared" si="24"/>
        <v>2</v>
      </c>
      <c r="D401">
        <v>9</v>
      </c>
      <c r="E401" t="str">
        <f>"13"</f>
        <v>13</v>
      </c>
      <c r="F401" t="str">
        <f t="shared" si="25"/>
        <v>0000</v>
      </c>
    </row>
    <row r="402" spans="1:6">
      <c r="A402" t="str">
        <f>"T475-314"</f>
        <v>T475-314</v>
      </c>
      <c r="B402" t="str">
        <f t="shared" si="22"/>
        <v>COMUNAGLIE DI VOLTRI</v>
      </c>
      <c r="C402" t="str">
        <f t="shared" si="24"/>
        <v>2</v>
      </c>
      <c r="D402">
        <v>9</v>
      </c>
      <c r="E402" t="str">
        <f>"14"</f>
        <v>14</v>
      </c>
      <c r="F402" t="str">
        <f t="shared" si="25"/>
        <v>0000</v>
      </c>
    </row>
    <row r="403" spans="1:6">
      <c r="A403" t="str">
        <f>"T475-315"</f>
        <v>T475-315</v>
      </c>
      <c r="B403" t="str">
        <f t="shared" si="22"/>
        <v>COMUNAGLIE DI VOLTRI</v>
      </c>
      <c r="C403" t="str">
        <f t="shared" si="24"/>
        <v>2</v>
      </c>
      <c r="D403">
        <v>9</v>
      </c>
      <c r="E403" t="str">
        <f>"15"</f>
        <v>15</v>
      </c>
      <c r="F403" t="str">
        <f t="shared" si="25"/>
        <v>0000</v>
      </c>
    </row>
    <row r="404" spans="1:6">
      <c r="A404" t="str">
        <f>"T475-316"</f>
        <v>T475-316</v>
      </c>
      <c r="B404" t="str">
        <f t="shared" si="22"/>
        <v>COMUNAGLIE DI VOLTRI</v>
      </c>
      <c r="C404" t="str">
        <f t="shared" si="24"/>
        <v>2</v>
      </c>
      <c r="D404">
        <v>9</v>
      </c>
      <c r="E404" t="str">
        <f>"44"</f>
        <v>44</v>
      </c>
      <c r="F404" t="str">
        <f t="shared" si="25"/>
        <v>0000</v>
      </c>
    </row>
    <row r="405" spans="1:6">
      <c r="A405" t="str">
        <f>"T475-317"</f>
        <v>T475-317</v>
      </c>
      <c r="B405" t="str">
        <f t="shared" si="22"/>
        <v>COMUNAGLIE DI VOLTRI</v>
      </c>
      <c r="C405" t="str">
        <f t="shared" si="24"/>
        <v>2</v>
      </c>
      <c r="D405">
        <v>9</v>
      </c>
      <c r="E405" t="str">
        <f>"45"</f>
        <v>45</v>
      </c>
      <c r="F405" t="str">
        <f t="shared" si="25"/>
        <v>0000</v>
      </c>
    </row>
    <row r="406" spans="1:6">
      <c r="A406" t="str">
        <f>"T475-318"</f>
        <v>T475-318</v>
      </c>
      <c r="B406" t="str">
        <f t="shared" si="22"/>
        <v>COMUNAGLIE DI VOLTRI</v>
      </c>
      <c r="C406" t="str">
        <f t="shared" si="24"/>
        <v>2</v>
      </c>
      <c r="D406">
        <v>9</v>
      </c>
      <c r="E406" t="str">
        <f>"46"</f>
        <v>46</v>
      </c>
      <c r="F406" t="str">
        <f t="shared" si="25"/>
        <v>0000</v>
      </c>
    </row>
    <row r="407" spans="1:6">
      <c r="A407" t="str">
        <f>"T475-319"</f>
        <v>T475-319</v>
      </c>
      <c r="B407" t="str">
        <f t="shared" si="22"/>
        <v>COMUNAGLIE DI VOLTRI</v>
      </c>
      <c r="C407" t="str">
        <f t="shared" si="24"/>
        <v>2</v>
      </c>
      <c r="D407">
        <v>9</v>
      </c>
      <c r="E407" t="str">
        <f>"47"</f>
        <v>47</v>
      </c>
      <c r="F407" t="str">
        <f t="shared" si="25"/>
        <v>0000</v>
      </c>
    </row>
    <row r="408" spans="1:6">
      <c r="A408" t="str">
        <f>"T475-320"</f>
        <v>T475-320</v>
      </c>
      <c r="B408" t="str">
        <f t="shared" si="22"/>
        <v>COMUNAGLIE DI VOLTRI</v>
      </c>
      <c r="C408" t="str">
        <f t="shared" si="24"/>
        <v>2</v>
      </c>
      <c r="D408">
        <v>9</v>
      </c>
      <c r="E408" t="str">
        <f>"48"</f>
        <v>48</v>
      </c>
      <c r="F408" t="str">
        <f t="shared" si="25"/>
        <v>0000</v>
      </c>
    </row>
    <row r="409" spans="1:6">
      <c r="A409" t="str">
        <f>"T475-321"</f>
        <v>T475-321</v>
      </c>
      <c r="B409" t="str">
        <f t="shared" ref="B409:B472" si="26">"COMUNAGLIE DI VOLTRI"</f>
        <v>COMUNAGLIE DI VOLTRI</v>
      </c>
      <c r="C409" t="str">
        <f t="shared" si="24"/>
        <v>2</v>
      </c>
      <c r="D409">
        <v>9</v>
      </c>
      <c r="E409" t="str">
        <f>"49"</f>
        <v>49</v>
      </c>
      <c r="F409" t="str">
        <f t="shared" si="25"/>
        <v>0000</v>
      </c>
    </row>
    <row r="410" spans="1:6">
      <c r="A410" t="str">
        <f>"T475-322"</f>
        <v>T475-322</v>
      </c>
      <c r="B410" t="str">
        <f t="shared" si="26"/>
        <v>COMUNAGLIE DI VOLTRI</v>
      </c>
      <c r="C410" t="str">
        <f t="shared" si="24"/>
        <v>2</v>
      </c>
      <c r="D410">
        <v>9</v>
      </c>
      <c r="E410" t="str">
        <f>"50"</f>
        <v>50</v>
      </c>
      <c r="F410" t="str">
        <f t="shared" si="25"/>
        <v>0000</v>
      </c>
    </row>
    <row r="411" spans="1:6">
      <c r="A411" t="str">
        <f>"T475-323"</f>
        <v>T475-323</v>
      </c>
      <c r="B411" t="str">
        <f t="shared" si="26"/>
        <v>COMUNAGLIE DI VOLTRI</v>
      </c>
      <c r="C411" t="str">
        <f t="shared" si="24"/>
        <v>2</v>
      </c>
      <c r="D411">
        <v>9</v>
      </c>
      <c r="E411" t="str">
        <f>"51"</f>
        <v>51</v>
      </c>
      <c r="F411" t="str">
        <f t="shared" si="25"/>
        <v>0000</v>
      </c>
    </row>
    <row r="412" spans="1:6">
      <c r="A412" t="str">
        <f>"T475-324"</f>
        <v>T475-324</v>
      </c>
      <c r="B412" t="str">
        <f t="shared" si="26"/>
        <v>COMUNAGLIE DI VOLTRI</v>
      </c>
      <c r="C412" t="str">
        <f t="shared" si="24"/>
        <v>2</v>
      </c>
      <c r="D412">
        <v>9</v>
      </c>
      <c r="E412" t="str">
        <f>"52"</f>
        <v>52</v>
      </c>
      <c r="F412" t="str">
        <f t="shared" si="25"/>
        <v>0000</v>
      </c>
    </row>
    <row r="413" spans="1:6">
      <c r="A413" t="str">
        <f>"T475-325"</f>
        <v>T475-325</v>
      </c>
      <c r="B413" t="str">
        <f t="shared" si="26"/>
        <v>COMUNAGLIE DI VOLTRI</v>
      </c>
      <c r="C413" t="str">
        <f t="shared" si="24"/>
        <v>2</v>
      </c>
      <c r="D413">
        <v>9</v>
      </c>
      <c r="E413" t="str">
        <f>"53"</f>
        <v>53</v>
      </c>
      <c r="F413" t="str">
        <f t="shared" si="25"/>
        <v>0000</v>
      </c>
    </row>
    <row r="414" spans="1:6">
      <c r="A414" t="str">
        <f>"T475-326"</f>
        <v>T475-326</v>
      </c>
      <c r="B414" t="str">
        <f t="shared" si="26"/>
        <v>COMUNAGLIE DI VOLTRI</v>
      </c>
      <c r="C414" t="str">
        <f t="shared" si="24"/>
        <v>2</v>
      </c>
      <c r="D414">
        <v>9</v>
      </c>
      <c r="E414" t="str">
        <f>"54"</f>
        <v>54</v>
      </c>
      <c r="F414" t="str">
        <f t="shared" si="25"/>
        <v>0000</v>
      </c>
    </row>
    <row r="415" spans="1:6">
      <c r="A415" t="str">
        <f>"T475-327"</f>
        <v>T475-327</v>
      </c>
      <c r="B415" t="str">
        <f t="shared" si="26"/>
        <v>COMUNAGLIE DI VOLTRI</v>
      </c>
      <c r="C415" t="str">
        <f t="shared" si="24"/>
        <v>2</v>
      </c>
      <c r="D415">
        <v>9</v>
      </c>
      <c r="E415" t="str">
        <f>"55"</f>
        <v>55</v>
      </c>
      <c r="F415" t="str">
        <f t="shared" si="25"/>
        <v>0000</v>
      </c>
    </row>
    <row r="416" spans="1:6">
      <c r="A416" t="str">
        <f>"T475-328"</f>
        <v>T475-328</v>
      </c>
      <c r="B416" t="str">
        <f t="shared" si="26"/>
        <v>COMUNAGLIE DI VOLTRI</v>
      </c>
      <c r="C416" t="str">
        <f t="shared" si="24"/>
        <v>2</v>
      </c>
      <c r="D416">
        <v>9</v>
      </c>
      <c r="E416" t="str">
        <f>"71"</f>
        <v>71</v>
      </c>
      <c r="F416" t="str">
        <f t="shared" si="25"/>
        <v>0000</v>
      </c>
    </row>
    <row r="417" spans="1:6">
      <c r="A417" t="str">
        <f>"T475-329"</f>
        <v>T475-329</v>
      </c>
      <c r="B417" t="str">
        <f t="shared" si="26"/>
        <v>COMUNAGLIE DI VOLTRI</v>
      </c>
      <c r="C417" t="str">
        <f t="shared" si="24"/>
        <v>2</v>
      </c>
      <c r="D417">
        <v>9</v>
      </c>
      <c r="E417" t="str">
        <f>"72"</f>
        <v>72</v>
      </c>
      <c r="F417" t="str">
        <f t="shared" si="25"/>
        <v>0000</v>
      </c>
    </row>
    <row r="418" spans="1:6">
      <c r="A418" t="str">
        <f>"T475-330"</f>
        <v>T475-330</v>
      </c>
      <c r="B418" t="str">
        <f t="shared" si="26"/>
        <v>COMUNAGLIE DI VOLTRI</v>
      </c>
      <c r="C418" t="str">
        <f t="shared" si="24"/>
        <v>2</v>
      </c>
      <c r="D418">
        <v>9</v>
      </c>
      <c r="E418" t="str">
        <f>"73"</f>
        <v>73</v>
      </c>
      <c r="F418" t="str">
        <f t="shared" si="25"/>
        <v>0000</v>
      </c>
    </row>
    <row r="419" spans="1:6">
      <c r="A419" t="str">
        <f>"T475-331"</f>
        <v>T475-331</v>
      </c>
      <c r="B419" t="str">
        <f t="shared" si="26"/>
        <v>COMUNAGLIE DI VOLTRI</v>
      </c>
      <c r="C419" t="str">
        <f t="shared" si="24"/>
        <v>2</v>
      </c>
      <c r="D419">
        <v>9</v>
      </c>
      <c r="E419" t="str">
        <f>"74"</f>
        <v>74</v>
      </c>
      <c r="F419" t="str">
        <f t="shared" si="25"/>
        <v>0000</v>
      </c>
    </row>
    <row r="420" spans="1:6">
      <c r="A420" t="str">
        <f>"T475-332"</f>
        <v>T475-332</v>
      </c>
      <c r="B420" t="str">
        <f t="shared" si="26"/>
        <v>COMUNAGLIE DI VOLTRI</v>
      </c>
      <c r="C420" t="str">
        <f t="shared" si="24"/>
        <v>2</v>
      </c>
      <c r="D420">
        <v>9</v>
      </c>
      <c r="E420" t="str">
        <f>"75"</f>
        <v>75</v>
      </c>
      <c r="F420" t="str">
        <f t="shared" si="25"/>
        <v>0000</v>
      </c>
    </row>
    <row r="421" spans="1:6">
      <c r="A421" t="str">
        <f>"T475-333"</f>
        <v>T475-333</v>
      </c>
      <c r="B421" t="str">
        <f t="shared" si="26"/>
        <v>COMUNAGLIE DI VOLTRI</v>
      </c>
      <c r="C421" t="str">
        <f t="shared" si="24"/>
        <v>2</v>
      </c>
      <c r="D421">
        <v>9</v>
      </c>
      <c r="E421" t="str">
        <f>"76"</f>
        <v>76</v>
      </c>
      <c r="F421" t="str">
        <f t="shared" si="25"/>
        <v>0000</v>
      </c>
    </row>
    <row r="422" spans="1:6">
      <c r="A422" t="str">
        <f>"T475-334"</f>
        <v>T475-334</v>
      </c>
      <c r="B422" t="str">
        <f t="shared" si="26"/>
        <v>COMUNAGLIE DI VOLTRI</v>
      </c>
      <c r="C422" t="str">
        <f t="shared" si="24"/>
        <v>2</v>
      </c>
      <c r="D422">
        <v>9</v>
      </c>
      <c r="E422" t="str">
        <f>"77"</f>
        <v>77</v>
      </c>
      <c r="F422" t="str">
        <f t="shared" si="25"/>
        <v>0000</v>
      </c>
    </row>
    <row r="423" spans="1:6">
      <c r="A423" t="str">
        <f>"T475-335"</f>
        <v>T475-335</v>
      </c>
      <c r="B423" t="str">
        <f t="shared" si="26"/>
        <v>COMUNAGLIE DI VOLTRI</v>
      </c>
      <c r="C423" t="str">
        <f t="shared" si="24"/>
        <v>2</v>
      </c>
      <c r="D423">
        <v>9</v>
      </c>
      <c r="E423" t="str">
        <f>"78"</f>
        <v>78</v>
      </c>
      <c r="F423" t="str">
        <f t="shared" si="25"/>
        <v>0000</v>
      </c>
    </row>
    <row r="424" spans="1:6">
      <c r="A424" t="str">
        <f>"T475-336"</f>
        <v>T475-336</v>
      </c>
      <c r="B424" t="str">
        <f t="shared" si="26"/>
        <v>COMUNAGLIE DI VOLTRI</v>
      </c>
      <c r="C424" t="str">
        <f t="shared" si="24"/>
        <v>2</v>
      </c>
      <c r="D424">
        <v>9</v>
      </c>
      <c r="E424" t="str">
        <f>"79"</f>
        <v>79</v>
      </c>
      <c r="F424" t="str">
        <f t="shared" si="25"/>
        <v>0000</v>
      </c>
    </row>
    <row r="425" spans="1:6">
      <c r="A425" t="str">
        <f>"T475-337"</f>
        <v>T475-337</v>
      </c>
      <c r="B425" t="str">
        <f t="shared" si="26"/>
        <v>COMUNAGLIE DI VOLTRI</v>
      </c>
      <c r="C425" t="str">
        <f t="shared" si="24"/>
        <v>2</v>
      </c>
      <c r="D425">
        <v>9</v>
      </c>
      <c r="E425" t="str">
        <f>"80"</f>
        <v>80</v>
      </c>
      <c r="F425" t="str">
        <f t="shared" si="25"/>
        <v>0000</v>
      </c>
    </row>
    <row r="426" spans="1:6">
      <c r="A426" t="str">
        <f>"T475-338"</f>
        <v>T475-338</v>
      </c>
      <c r="B426" t="str">
        <f t="shared" si="26"/>
        <v>COMUNAGLIE DI VOLTRI</v>
      </c>
      <c r="C426" t="str">
        <f t="shared" si="24"/>
        <v>2</v>
      </c>
      <c r="D426">
        <v>9</v>
      </c>
      <c r="E426" t="str">
        <f>"81"</f>
        <v>81</v>
      </c>
      <c r="F426" t="str">
        <f t="shared" si="25"/>
        <v>0000</v>
      </c>
    </row>
    <row r="427" spans="1:6">
      <c r="A427" t="str">
        <f>"T475-339"</f>
        <v>T475-339</v>
      </c>
      <c r="B427" t="str">
        <f t="shared" si="26"/>
        <v>COMUNAGLIE DI VOLTRI</v>
      </c>
      <c r="C427" t="str">
        <f t="shared" si="24"/>
        <v>2</v>
      </c>
      <c r="D427">
        <v>9</v>
      </c>
      <c r="E427" t="str">
        <f>"82"</f>
        <v>82</v>
      </c>
      <c r="F427" t="str">
        <f t="shared" si="25"/>
        <v>0000</v>
      </c>
    </row>
    <row r="428" spans="1:6">
      <c r="A428" t="str">
        <f>"T475-340"</f>
        <v>T475-340</v>
      </c>
      <c r="B428" t="str">
        <f t="shared" si="26"/>
        <v>COMUNAGLIE DI VOLTRI</v>
      </c>
      <c r="C428" t="str">
        <f t="shared" si="24"/>
        <v>2</v>
      </c>
      <c r="D428">
        <v>9</v>
      </c>
      <c r="E428" t="str">
        <f>"83"</f>
        <v>83</v>
      </c>
      <c r="F428" t="str">
        <f t="shared" si="25"/>
        <v>0000</v>
      </c>
    </row>
    <row r="429" spans="1:6">
      <c r="A429" t="str">
        <f>"T475-341"</f>
        <v>T475-341</v>
      </c>
      <c r="B429" t="str">
        <f t="shared" si="26"/>
        <v>COMUNAGLIE DI VOLTRI</v>
      </c>
      <c r="C429" t="str">
        <f t="shared" si="24"/>
        <v>2</v>
      </c>
      <c r="D429">
        <v>9</v>
      </c>
      <c r="E429" t="str">
        <f>"84"</f>
        <v>84</v>
      </c>
      <c r="F429" t="str">
        <f t="shared" si="25"/>
        <v>0000</v>
      </c>
    </row>
    <row r="430" spans="1:6">
      <c r="A430" t="str">
        <f>"T475-342"</f>
        <v>T475-342</v>
      </c>
      <c r="B430" t="str">
        <f t="shared" si="26"/>
        <v>COMUNAGLIE DI VOLTRI</v>
      </c>
      <c r="C430" t="str">
        <f t="shared" si="24"/>
        <v>2</v>
      </c>
      <c r="D430">
        <v>9</v>
      </c>
      <c r="E430" t="str">
        <f>"85"</f>
        <v>85</v>
      </c>
      <c r="F430" t="str">
        <f t="shared" si="25"/>
        <v>0000</v>
      </c>
    </row>
    <row r="431" spans="1:6">
      <c r="A431" t="str">
        <f>"T475-343"</f>
        <v>T475-343</v>
      </c>
      <c r="B431" t="str">
        <f t="shared" si="26"/>
        <v>COMUNAGLIE DI VOLTRI</v>
      </c>
      <c r="C431" t="str">
        <f t="shared" si="24"/>
        <v>2</v>
      </c>
      <c r="D431">
        <v>9</v>
      </c>
      <c r="E431" t="str">
        <f>"86"</f>
        <v>86</v>
      </c>
      <c r="F431" t="str">
        <f t="shared" si="25"/>
        <v>0000</v>
      </c>
    </row>
    <row r="432" spans="1:6">
      <c r="A432" t="str">
        <f>"T475-344"</f>
        <v>T475-344</v>
      </c>
      <c r="B432" t="str">
        <f t="shared" si="26"/>
        <v>COMUNAGLIE DI VOLTRI</v>
      </c>
      <c r="C432" t="str">
        <f t="shared" si="24"/>
        <v>2</v>
      </c>
      <c r="D432">
        <v>9</v>
      </c>
      <c r="E432" t="str">
        <f>"87"</f>
        <v>87</v>
      </c>
      <c r="F432" t="str">
        <f t="shared" si="25"/>
        <v>0000</v>
      </c>
    </row>
    <row r="433" spans="1:6">
      <c r="A433" t="str">
        <f>"T475-345"</f>
        <v>T475-345</v>
      </c>
      <c r="B433" t="str">
        <f t="shared" si="26"/>
        <v>COMUNAGLIE DI VOLTRI</v>
      </c>
      <c r="C433" t="str">
        <f t="shared" si="24"/>
        <v>2</v>
      </c>
      <c r="D433">
        <v>9</v>
      </c>
      <c r="E433" t="str">
        <f>"88"</f>
        <v>88</v>
      </c>
      <c r="F433" t="str">
        <f t="shared" si="25"/>
        <v>0000</v>
      </c>
    </row>
    <row r="434" spans="1:6">
      <c r="A434" t="str">
        <f>"T475-346"</f>
        <v>T475-346</v>
      </c>
      <c r="B434" t="str">
        <f t="shared" si="26"/>
        <v>COMUNAGLIE DI VOLTRI</v>
      </c>
      <c r="C434" t="str">
        <f t="shared" si="24"/>
        <v>2</v>
      </c>
      <c r="D434">
        <v>9</v>
      </c>
      <c r="E434" t="str">
        <f>"89"</f>
        <v>89</v>
      </c>
      <c r="F434" t="str">
        <f t="shared" si="25"/>
        <v>0000</v>
      </c>
    </row>
    <row r="435" spans="1:6">
      <c r="A435" t="str">
        <f>"T475-347"</f>
        <v>T475-347</v>
      </c>
      <c r="B435" t="str">
        <f t="shared" si="26"/>
        <v>COMUNAGLIE DI VOLTRI</v>
      </c>
      <c r="C435" t="str">
        <f t="shared" si="24"/>
        <v>2</v>
      </c>
      <c r="D435">
        <v>9</v>
      </c>
      <c r="E435" t="str">
        <f>"90"</f>
        <v>90</v>
      </c>
      <c r="F435" t="str">
        <f t="shared" si="25"/>
        <v>0000</v>
      </c>
    </row>
    <row r="436" spans="1:6">
      <c r="A436" t="str">
        <f>"T475-348"</f>
        <v>T475-348</v>
      </c>
      <c r="B436" t="str">
        <f t="shared" si="26"/>
        <v>COMUNAGLIE DI VOLTRI</v>
      </c>
      <c r="C436" t="str">
        <f t="shared" si="24"/>
        <v>2</v>
      </c>
      <c r="D436">
        <v>9</v>
      </c>
      <c r="E436" t="str">
        <f>"91"</f>
        <v>91</v>
      </c>
      <c r="F436" t="str">
        <f t="shared" si="25"/>
        <v>0000</v>
      </c>
    </row>
    <row r="437" spans="1:6">
      <c r="A437" t="str">
        <f>"T475-349"</f>
        <v>T475-349</v>
      </c>
      <c r="B437" t="str">
        <f t="shared" si="26"/>
        <v>COMUNAGLIE DI VOLTRI</v>
      </c>
      <c r="C437" t="str">
        <f t="shared" si="24"/>
        <v>2</v>
      </c>
      <c r="D437">
        <v>9</v>
      </c>
      <c r="E437" t="str">
        <f>"92"</f>
        <v>92</v>
      </c>
      <c r="F437" t="str">
        <f t="shared" si="25"/>
        <v>0000</v>
      </c>
    </row>
    <row r="438" spans="1:6">
      <c r="A438" t="str">
        <f>"T475-350"</f>
        <v>T475-350</v>
      </c>
      <c r="B438" t="str">
        <f t="shared" si="26"/>
        <v>COMUNAGLIE DI VOLTRI</v>
      </c>
      <c r="C438" t="str">
        <f t="shared" si="24"/>
        <v>2</v>
      </c>
      <c r="D438">
        <v>9</v>
      </c>
      <c r="E438" t="str">
        <f>"93"</f>
        <v>93</v>
      </c>
      <c r="F438" t="str">
        <f t="shared" si="25"/>
        <v>0000</v>
      </c>
    </row>
    <row r="439" spans="1:6">
      <c r="A439" t="str">
        <f>"T475-351"</f>
        <v>T475-351</v>
      </c>
      <c r="B439" t="str">
        <f t="shared" si="26"/>
        <v>COMUNAGLIE DI VOLTRI</v>
      </c>
      <c r="C439" t="str">
        <f t="shared" si="24"/>
        <v>2</v>
      </c>
      <c r="D439">
        <v>9</v>
      </c>
      <c r="E439" t="str">
        <f>"94"</f>
        <v>94</v>
      </c>
      <c r="F439" t="str">
        <f t="shared" si="25"/>
        <v>0000</v>
      </c>
    </row>
    <row r="440" spans="1:6">
      <c r="A440" t="str">
        <f>"T475-352"</f>
        <v>T475-352</v>
      </c>
      <c r="B440" t="str">
        <f t="shared" si="26"/>
        <v>COMUNAGLIE DI VOLTRI</v>
      </c>
      <c r="C440" t="str">
        <f t="shared" si="24"/>
        <v>2</v>
      </c>
      <c r="D440">
        <v>9</v>
      </c>
      <c r="E440" t="str">
        <f>"95"</f>
        <v>95</v>
      </c>
      <c r="F440" t="str">
        <f t="shared" si="25"/>
        <v>0000</v>
      </c>
    </row>
    <row r="441" spans="1:6">
      <c r="A441" t="str">
        <f>"T475-353"</f>
        <v>T475-353</v>
      </c>
      <c r="B441" t="str">
        <f t="shared" si="26"/>
        <v>COMUNAGLIE DI VOLTRI</v>
      </c>
      <c r="C441" t="str">
        <f t="shared" si="24"/>
        <v>2</v>
      </c>
      <c r="D441">
        <v>9</v>
      </c>
      <c r="E441" t="str">
        <f>"96"</f>
        <v>96</v>
      </c>
      <c r="F441" t="str">
        <f t="shared" si="25"/>
        <v>0000</v>
      </c>
    </row>
    <row r="442" spans="1:6">
      <c r="A442" t="str">
        <f>"T475-354"</f>
        <v>T475-354</v>
      </c>
      <c r="B442" t="str">
        <f t="shared" si="26"/>
        <v>COMUNAGLIE DI VOLTRI</v>
      </c>
      <c r="C442" t="str">
        <f t="shared" si="24"/>
        <v>2</v>
      </c>
      <c r="D442">
        <v>9</v>
      </c>
      <c r="E442" t="str">
        <f>"97"</f>
        <v>97</v>
      </c>
      <c r="F442" t="str">
        <f t="shared" si="25"/>
        <v>0000</v>
      </c>
    </row>
    <row r="443" spans="1:6">
      <c r="A443" t="str">
        <f>"T475-355"</f>
        <v>T475-355</v>
      </c>
      <c r="B443" t="str">
        <f t="shared" si="26"/>
        <v>COMUNAGLIE DI VOLTRI</v>
      </c>
      <c r="C443" t="str">
        <f t="shared" si="24"/>
        <v>2</v>
      </c>
      <c r="D443">
        <v>9</v>
      </c>
      <c r="E443" t="str">
        <f>"98"</f>
        <v>98</v>
      </c>
      <c r="F443" t="str">
        <f t="shared" si="25"/>
        <v>0000</v>
      </c>
    </row>
    <row r="444" spans="1:6">
      <c r="A444" t="str">
        <f>"T475-356"</f>
        <v>T475-356</v>
      </c>
      <c r="B444" t="str">
        <f t="shared" si="26"/>
        <v>COMUNAGLIE DI VOLTRI</v>
      </c>
      <c r="C444" t="str">
        <f t="shared" si="24"/>
        <v>2</v>
      </c>
      <c r="D444">
        <v>9</v>
      </c>
      <c r="E444" t="str">
        <f>"99"</f>
        <v>99</v>
      </c>
      <c r="F444" t="str">
        <f t="shared" si="25"/>
        <v>0000</v>
      </c>
    </row>
    <row r="445" spans="1:6">
      <c r="A445" t="str">
        <f>"T475-357"</f>
        <v>T475-357</v>
      </c>
      <c r="B445" t="str">
        <f t="shared" si="26"/>
        <v>COMUNAGLIE DI VOLTRI</v>
      </c>
      <c r="C445" t="str">
        <f t="shared" si="24"/>
        <v>2</v>
      </c>
      <c r="D445">
        <v>9</v>
      </c>
      <c r="E445" t="str">
        <f>"110"</f>
        <v>110</v>
      </c>
      <c r="F445" t="str">
        <f t="shared" si="25"/>
        <v>0000</v>
      </c>
    </row>
    <row r="446" spans="1:6">
      <c r="A446" t="str">
        <f>"T475-358"</f>
        <v>T475-358</v>
      </c>
      <c r="B446" t="str">
        <f t="shared" si="26"/>
        <v>COMUNAGLIE DI VOLTRI</v>
      </c>
      <c r="C446" t="str">
        <f t="shared" si="24"/>
        <v>2</v>
      </c>
      <c r="D446">
        <v>9</v>
      </c>
      <c r="E446" t="str">
        <f>"111"</f>
        <v>111</v>
      </c>
      <c r="F446" t="str">
        <f t="shared" si="25"/>
        <v>0000</v>
      </c>
    </row>
    <row r="447" spans="1:6">
      <c r="A447" t="str">
        <f>"T475-359"</f>
        <v>T475-359</v>
      </c>
      <c r="B447" t="str">
        <f t="shared" si="26"/>
        <v>COMUNAGLIE DI VOLTRI</v>
      </c>
      <c r="C447" t="str">
        <f t="shared" ref="C447:C510" si="27">"2"</f>
        <v>2</v>
      </c>
      <c r="D447">
        <v>9</v>
      </c>
      <c r="E447" t="str">
        <f>"112"</f>
        <v>112</v>
      </c>
      <c r="F447" t="str">
        <f t="shared" si="25"/>
        <v>0000</v>
      </c>
    </row>
    <row r="448" spans="1:6">
      <c r="A448" t="str">
        <f>"T475-360"</f>
        <v>T475-360</v>
      </c>
      <c r="B448" t="str">
        <f t="shared" si="26"/>
        <v>COMUNAGLIE DI VOLTRI</v>
      </c>
      <c r="C448" t="str">
        <f t="shared" si="27"/>
        <v>2</v>
      </c>
      <c r="D448">
        <v>9</v>
      </c>
      <c r="E448" t="str">
        <f>"113"</f>
        <v>113</v>
      </c>
      <c r="F448" t="str">
        <f t="shared" si="25"/>
        <v>0000</v>
      </c>
    </row>
    <row r="449" spans="1:6">
      <c r="A449" t="str">
        <f>"T475-361"</f>
        <v>T475-361</v>
      </c>
      <c r="B449" t="str">
        <f t="shared" si="26"/>
        <v>COMUNAGLIE DI VOLTRI</v>
      </c>
      <c r="C449" t="str">
        <f t="shared" si="27"/>
        <v>2</v>
      </c>
      <c r="D449">
        <v>9</v>
      </c>
      <c r="E449" t="str">
        <f>"114"</f>
        <v>114</v>
      </c>
      <c r="F449" t="str">
        <f t="shared" si="25"/>
        <v>0000</v>
      </c>
    </row>
    <row r="450" spans="1:6">
      <c r="A450" t="str">
        <f>"T475-362"</f>
        <v>T475-362</v>
      </c>
      <c r="B450" t="str">
        <f t="shared" si="26"/>
        <v>COMUNAGLIE DI VOLTRI</v>
      </c>
      <c r="C450" t="str">
        <f t="shared" si="27"/>
        <v>2</v>
      </c>
      <c r="D450">
        <v>9</v>
      </c>
      <c r="E450" t="str">
        <f>"115"</f>
        <v>115</v>
      </c>
      <c r="F450" t="str">
        <f t="shared" ref="F450:F513" si="28">"0000"</f>
        <v>0000</v>
      </c>
    </row>
    <row r="451" spans="1:6">
      <c r="A451" t="str">
        <f>"T475-363"</f>
        <v>T475-363</v>
      </c>
      <c r="B451" t="str">
        <f t="shared" si="26"/>
        <v>COMUNAGLIE DI VOLTRI</v>
      </c>
      <c r="C451" t="str">
        <f t="shared" si="27"/>
        <v>2</v>
      </c>
      <c r="D451">
        <v>9</v>
      </c>
      <c r="E451" t="str">
        <f>"116"</f>
        <v>116</v>
      </c>
      <c r="F451" t="str">
        <f t="shared" si="28"/>
        <v>0000</v>
      </c>
    </row>
    <row r="452" spans="1:6">
      <c r="A452" t="str">
        <f>"T475-364"</f>
        <v>T475-364</v>
      </c>
      <c r="B452" t="str">
        <f t="shared" si="26"/>
        <v>COMUNAGLIE DI VOLTRI</v>
      </c>
      <c r="C452" t="str">
        <f t="shared" si="27"/>
        <v>2</v>
      </c>
      <c r="D452">
        <v>9</v>
      </c>
      <c r="E452" t="str">
        <f>"117"</f>
        <v>117</v>
      </c>
      <c r="F452" t="str">
        <f t="shared" si="28"/>
        <v>0000</v>
      </c>
    </row>
    <row r="453" spans="1:6">
      <c r="A453" t="str">
        <f>"T475-365"</f>
        <v>T475-365</v>
      </c>
      <c r="B453" t="str">
        <f t="shared" si="26"/>
        <v>COMUNAGLIE DI VOLTRI</v>
      </c>
      <c r="C453" t="str">
        <f t="shared" si="27"/>
        <v>2</v>
      </c>
      <c r="D453">
        <v>9</v>
      </c>
      <c r="E453" t="str">
        <f>"119"</f>
        <v>119</v>
      </c>
      <c r="F453" t="str">
        <f t="shared" si="28"/>
        <v>0000</v>
      </c>
    </row>
    <row r="454" spans="1:6">
      <c r="A454" t="str">
        <f>"T475-366"</f>
        <v>T475-366</v>
      </c>
      <c r="B454" t="str">
        <f t="shared" si="26"/>
        <v>COMUNAGLIE DI VOLTRI</v>
      </c>
      <c r="C454" t="str">
        <f t="shared" si="27"/>
        <v>2</v>
      </c>
      <c r="D454">
        <v>9</v>
      </c>
      <c r="E454" t="str">
        <f>"120"</f>
        <v>120</v>
      </c>
      <c r="F454" t="str">
        <f t="shared" si="28"/>
        <v>0000</v>
      </c>
    </row>
    <row r="455" spans="1:6">
      <c r="A455" t="str">
        <f>"T475-367"</f>
        <v>T475-367</v>
      </c>
      <c r="B455" t="str">
        <f t="shared" si="26"/>
        <v>COMUNAGLIE DI VOLTRI</v>
      </c>
      <c r="C455" t="str">
        <f t="shared" si="27"/>
        <v>2</v>
      </c>
      <c r="D455">
        <v>9</v>
      </c>
      <c r="E455" t="str">
        <f>"122"</f>
        <v>122</v>
      </c>
      <c r="F455" t="str">
        <f t="shared" si="28"/>
        <v>0000</v>
      </c>
    </row>
    <row r="456" spans="1:6">
      <c r="A456" t="str">
        <f>"T475-368"</f>
        <v>T475-368</v>
      </c>
      <c r="B456" t="str">
        <f t="shared" si="26"/>
        <v>COMUNAGLIE DI VOLTRI</v>
      </c>
      <c r="C456" t="str">
        <f t="shared" si="27"/>
        <v>2</v>
      </c>
      <c r="D456">
        <v>9</v>
      </c>
      <c r="E456" t="str">
        <f>"123"</f>
        <v>123</v>
      </c>
      <c r="F456" t="str">
        <f t="shared" si="28"/>
        <v>0000</v>
      </c>
    </row>
    <row r="457" spans="1:6">
      <c r="A457" t="str">
        <f>"T475-369"</f>
        <v>T475-369</v>
      </c>
      <c r="B457" t="str">
        <f t="shared" si="26"/>
        <v>COMUNAGLIE DI VOLTRI</v>
      </c>
      <c r="C457" t="str">
        <f t="shared" si="27"/>
        <v>2</v>
      </c>
      <c r="D457">
        <v>10</v>
      </c>
      <c r="E457" t="str">
        <f>"149"</f>
        <v>149</v>
      </c>
      <c r="F457" t="str">
        <f t="shared" si="28"/>
        <v>0000</v>
      </c>
    </row>
    <row r="458" spans="1:6">
      <c r="A458" t="str">
        <f>"T475-370"</f>
        <v>T475-370</v>
      </c>
      <c r="B458" t="str">
        <f t="shared" si="26"/>
        <v>COMUNAGLIE DI VOLTRI</v>
      </c>
      <c r="C458" t="str">
        <f t="shared" si="27"/>
        <v>2</v>
      </c>
      <c r="D458">
        <v>10</v>
      </c>
      <c r="E458" t="str">
        <f>"161"</f>
        <v>161</v>
      </c>
      <c r="F458" t="str">
        <f t="shared" si="28"/>
        <v>0000</v>
      </c>
    </row>
    <row r="459" spans="1:6">
      <c r="A459" t="str">
        <f>"T475-371"</f>
        <v>T475-371</v>
      </c>
      <c r="B459" t="str">
        <f t="shared" si="26"/>
        <v>COMUNAGLIE DI VOLTRI</v>
      </c>
      <c r="C459" t="str">
        <f t="shared" si="27"/>
        <v>2</v>
      </c>
      <c r="D459">
        <v>10</v>
      </c>
      <c r="E459" t="str">
        <f>"187"</f>
        <v>187</v>
      </c>
      <c r="F459" t="str">
        <f t="shared" si="28"/>
        <v>0000</v>
      </c>
    </row>
    <row r="460" spans="1:6">
      <c r="A460" t="str">
        <f>"T475-372"</f>
        <v>T475-372</v>
      </c>
      <c r="B460" t="str">
        <f t="shared" si="26"/>
        <v>COMUNAGLIE DI VOLTRI</v>
      </c>
      <c r="C460" t="str">
        <f t="shared" si="27"/>
        <v>2</v>
      </c>
      <c r="D460">
        <v>10</v>
      </c>
      <c r="E460" t="str">
        <f>"188"</f>
        <v>188</v>
      </c>
      <c r="F460" t="str">
        <f t="shared" si="28"/>
        <v>0000</v>
      </c>
    </row>
    <row r="461" spans="1:6">
      <c r="A461" t="str">
        <f>"T475-373"</f>
        <v>T475-373</v>
      </c>
      <c r="B461" t="str">
        <f t="shared" si="26"/>
        <v>COMUNAGLIE DI VOLTRI</v>
      </c>
      <c r="C461" t="str">
        <f t="shared" si="27"/>
        <v>2</v>
      </c>
      <c r="D461">
        <v>10</v>
      </c>
      <c r="E461" t="str">
        <f>"189"</f>
        <v>189</v>
      </c>
      <c r="F461" t="str">
        <f t="shared" si="28"/>
        <v>0000</v>
      </c>
    </row>
    <row r="462" spans="1:6">
      <c r="A462" t="str">
        <f>"T475-374"</f>
        <v>T475-374</v>
      </c>
      <c r="B462" t="str">
        <f t="shared" si="26"/>
        <v>COMUNAGLIE DI VOLTRI</v>
      </c>
      <c r="C462" t="str">
        <f t="shared" si="27"/>
        <v>2</v>
      </c>
      <c r="D462">
        <v>10</v>
      </c>
      <c r="E462" t="str">
        <f>"190"</f>
        <v>190</v>
      </c>
      <c r="F462" t="str">
        <f t="shared" si="28"/>
        <v>0000</v>
      </c>
    </row>
    <row r="463" spans="1:6">
      <c r="A463" t="str">
        <f>"T475-375"</f>
        <v>T475-375</v>
      </c>
      <c r="B463" t="str">
        <f t="shared" si="26"/>
        <v>COMUNAGLIE DI VOLTRI</v>
      </c>
      <c r="C463" t="str">
        <f t="shared" si="27"/>
        <v>2</v>
      </c>
      <c r="D463">
        <v>10</v>
      </c>
      <c r="E463" t="str">
        <f>"216"</f>
        <v>216</v>
      </c>
      <c r="F463" t="str">
        <f t="shared" si="28"/>
        <v>0000</v>
      </c>
    </row>
    <row r="464" spans="1:6">
      <c r="A464" t="str">
        <f>"T475-376"</f>
        <v>T475-376</v>
      </c>
      <c r="B464" t="str">
        <f t="shared" si="26"/>
        <v>COMUNAGLIE DI VOLTRI</v>
      </c>
      <c r="C464" t="str">
        <f t="shared" si="27"/>
        <v>2</v>
      </c>
      <c r="D464">
        <v>10</v>
      </c>
      <c r="E464" t="str">
        <f>"238"</f>
        <v>238</v>
      </c>
      <c r="F464" t="str">
        <f t="shared" si="28"/>
        <v>0000</v>
      </c>
    </row>
    <row r="465" spans="1:6">
      <c r="A465" t="str">
        <f>"T475-377"</f>
        <v>T475-377</v>
      </c>
      <c r="B465" t="str">
        <f t="shared" si="26"/>
        <v>COMUNAGLIE DI VOLTRI</v>
      </c>
      <c r="C465" t="str">
        <f t="shared" si="27"/>
        <v>2</v>
      </c>
      <c r="D465">
        <v>13</v>
      </c>
      <c r="E465" t="str">
        <f>"1"</f>
        <v>1</v>
      </c>
      <c r="F465" t="str">
        <f t="shared" si="28"/>
        <v>0000</v>
      </c>
    </row>
    <row r="466" spans="1:6">
      <c r="A466" t="str">
        <f>"T475-378"</f>
        <v>T475-378</v>
      </c>
      <c r="B466" t="str">
        <f t="shared" si="26"/>
        <v>COMUNAGLIE DI VOLTRI</v>
      </c>
      <c r="C466" t="str">
        <f t="shared" si="27"/>
        <v>2</v>
      </c>
      <c r="D466">
        <v>13</v>
      </c>
      <c r="E466" t="str">
        <f>"2"</f>
        <v>2</v>
      </c>
      <c r="F466" t="str">
        <f t="shared" si="28"/>
        <v>0000</v>
      </c>
    </row>
    <row r="467" spans="1:6">
      <c r="A467" t="str">
        <f>"T475-379"</f>
        <v>T475-379</v>
      </c>
      <c r="B467" t="str">
        <f t="shared" si="26"/>
        <v>COMUNAGLIE DI VOLTRI</v>
      </c>
      <c r="C467" t="str">
        <f t="shared" si="27"/>
        <v>2</v>
      </c>
      <c r="D467">
        <v>13</v>
      </c>
      <c r="E467" t="str">
        <f>"3"</f>
        <v>3</v>
      </c>
      <c r="F467" t="str">
        <f t="shared" si="28"/>
        <v>0000</v>
      </c>
    </row>
    <row r="468" spans="1:6">
      <c r="A468" t="str">
        <f>"T475-380"</f>
        <v>T475-380</v>
      </c>
      <c r="B468" t="str">
        <f t="shared" si="26"/>
        <v>COMUNAGLIE DI VOLTRI</v>
      </c>
      <c r="C468" t="str">
        <f t="shared" si="27"/>
        <v>2</v>
      </c>
      <c r="D468">
        <v>13</v>
      </c>
      <c r="E468" t="str">
        <f>"4"</f>
        <v>4</v>
      </c>
      <c r="F468" t="str">
        <f t="shared" si="28"/>
        <v>0000</v>
      </c>
    </row>
    <row r="469" spans="1:6">
      <c r="A469" t="str">
        <f>"T475-381"</f>
        <v>T475-381</v>
      </c>
      <c r="B469" t="str">
        <f t="shared" si="26"/>
        <v>COMUNAGLIE DI VOLTRI</v>
      </c>
      <c r="C469" t="str">
        <f t="shared" si="27"/>
        <v>2</v>
      </c>
      <c r="D469">
        <v>13</v>
      </c>
      <c r="E469" t="str">
        <f>"5"</f>
        <v>5</v>
      </c>
      <c r="F469" t="str">
        <f t="shared" si="28"/>
        <v>0000</v>
      </c>
    </row>
    <row r="470" spans="1:6">
      <c r="A470" t="str">
        <f>"T475-382"</f>
        <v>T475-382</v>
      </c>
      <c r="B470" t="str">
        <f t="shared" si="26"/>
        <v>COMUNAGLIE DI VOLTRI</v>
      </c>
      <c r="C470" t="str">
        <f t="shared" si="27"/>
        <v>2</v>
      </c>
      <c r="D470">
        <v>13</v>
      </c>
      <c r="E470" t="str">
        <f>"6"</f>
        <v>6</v>
      </c>
      <c r="F470" t="str">
        <f t="shared" si="28"/>
        <v>0000</v>
      </c>
    </row>
    <row r="471" spans="1:6">
      <c r="A471" t="str">
        <f>"T475-383"</f>
        <v>T475-383</v>
      </c>
      <c r="B471" t="str">
        <f t="shared" si="26"/>
        <v>COMUNAGLIE DI VOLTRI</v>
      </c>
      <c r="C471" t="str">
        <f t="shared" si="27"/>
        <v>2</v>
      </c>
      <c r="D471">
        <v>13</v>
      </c>
      <c r="E471" t="str">
        <f>"7"</f>
        <v>7</v>
      </c>
      <c r="F471" t="str">
        <f t="shared" si="28"/>
        <v>0000</v>
      </c>
    </row>
    <row r="472" spans="1:6">
      <c r="A472" t="str">
        <f>"T475-384"</f>
        <v>T475-384</v>
      </c>
      <c r="B472" t="str">
        <f t="shared" si="26"/>
        <v>COMUNAGLIE DI VOLTRI</v>
      </c>
      <c r="C472" t="str">
        <f t="shared" si="27"/>
        <v>2</v>
      </c>
      <c r="D472">
        <v>13</v>
      </c>
      <c r="E472" t="str">
        <f>"8"</f>
        <v>8</v>
      </c>
      <c r="F472" t="str">
        <f t="shared" si="28"/>
        <v>0000</v>
      </c>
    </row>
    <row r="473" spans="1:6">
      <c r="A473" t="str">
        <f>"T475-385"</f>
        <v>T475-385</v>
      </c>
      <c r="B473" t="str">
        <f t="shared" ref="B473:B536" si="29">"COMUNAGLIE DI VOLTRI"</f>
        <v>COMUNAGLIE DI VOLTRI</v>
      </c>
      <c r="C473" t="str">
        <f t="shared" si="27"/>
        <v>2</v>
      </c>
      <c r="D473">
        <v>13</v>
      </c>
      <c r="E473" t="str">
        <f>"9"</f>
        <v>9</v>
      </c>
      <c r="F473" t="str">
        <f t="shared" si="28"/>
        <v>0000</v>
      </c>
    </row>
    <row r="474" spans="1:6">
      <c r="A474" t="str">
        <f>"T475-386"</f>
        <v>T475-386</v>
      </c>
      <c r="B474" t="str">
        <f t="shared" si="29"/>
        <v>COMUNAGLIE DI VOLTRI</v>
      </c>
      <c r="C474" t="str">
        <f t="shared" si="27"/>
        <v>2</v>
      </c>
      <c r="D474">
        <v>13</v>
      </c>
      <c r="E474" t="str">
        <f>"10"</f>
        <v>10</v>
      </c>
      <c r="F474" t="str">
        <f t="shared" si="28"/>
        <v>0000</v>
      </c>
    </row>
    <row r="475" spans="1:6">
      <c r="A475" t="str">
        <f>"T475-387"</f>
        <v>T475-387</v>
      </c>
      <c r="B475" t="str">
        <f t="shared" si="29"/>
        <v>COMUNAGLIE DI VOLTRI</v>
      </c>
      <c r="C475" t="str">
        <f t="shared" si="27"/>
        <v>2</v>
      </c>
      <c r="D475">
        <v>13</v>
      </c>
      <c r="E475" t="str">
        <f>"11"</f>
        <v>11</v>
      </c>
      <c r="F475" t="str">
        <f t="shared" si="28"/>
        <v>0000</v>
      </c>
    </row>
    <row r="476" spans="1:6">
      <c r="A476" t="str">
        <f>"T475-388"</f>
        <v>T475-388</v>
      </c>
      <c r="B476" t="str">
        <f t="shared" si="29"/>
        <v>COMUNAGLIE DI VOLTRI</v>
      </c>
      <c r="C476" t="str">
        <f t="shared" si="27"/>
        <v>2</v>
      </c>
      <c r="D476">
        <v>13</v>
      </c>
      <c r="E476" t="str">
        <f>"12"</f>
        <v>12</v>
      </c>
      <c r="F476" t="str">
        <f t="shared" si="28"/>
        <v>0000</v>
      </c>
    </row>
    <row r="477" spans="1:6">
      <c r="A477" t="str">
        <f>"T475-389"</f>
        <v>T475-389</v>
      </c>
      <c r="B477" t="str">
        <f t="shared" si="29"/>
        <v>COMUNAGLIE DI VOLTRI</v>
      </c>
      <c r="C477" t="str">
        <f t="shared" si="27"/>
        <v>2</v>
      </c>
      <c r="D477">
        <v>13</v>
      </c>
      <c r="E477" t="str">
        <f>"13"</f>
        <v>13</v>
      </c>
      <c r="F477" t="str">
        <f t="shared" si="28"/>
        <v>0000</v>
      </c>
    </row>
    <row r="478" spans="1:6">
      <c r="A478" t="str">
        <f>"T475-390"</f>
        <v>T475-390</v>
      </c>
      <c r="B478" t="str">
        <f t="shared" si="29"/>
        <v>COMUNAGLIE DI VOLTRI</v>
      </c>
      <c r="C478" t="str">
        <f t="shared" si="27"/>
        <v>2</v>
      </c>
      <c r="D478">
        <v>13</v>
      </c>
      <c r="E478" t="str">
        <f>"14"</f>
        <v>14</v>
      </c>
      <c r="F478" t="str">
        <f t="shared" si="28"/>
        <v>0000</v>
      </c>
    </row>
    <row r="479" spans="1:6">
      <c r="A479" t="str">
        <f>"T475-391"</f>
        <v>T475-391</v>
      </c>
      <c r="B479" t="str">
        <f t="shared" si="29"/>
        <v>COMUNAGLIE DI VOLTRI</v>
      </c>
      <c r="C479" t="str">
        <f t="shared" si="27"/>
        <v>2</v>
      </c>
      <c r="D479">
        <v>13</v>
      </c>
      <c r="E479" t="str">
        <f>"15"</f>
        <v>15</v>
      </c>
      <c r="F479" t="str">
        <f t="shared" si="28"/>
        <v>0000</v>
      </c>
    </row>
    <row r="480" spans="1:6">
      <c r="A480" t="str">
        <f>"T475-392"</f>
        <v>T475-392</v>
      </c>
      <c r="B480" t="str">
        <f t="shared" si="29"/>
        <v>COMUNAGLIE DI VOLTRI</v>
      </c>
      <c r="C480" t="str">
        <f t="shared" si="27"/>
        <v>2</v>
      </c>
      <c r="D480">
        <v>13</v>
      </c>
      <c r="E480" t="str">
        <f>"16"</f>
        <v>16</v>
      </c>
      <c r="F480" t="str">
        <f t="shared" si="28"/>
        <v>0000</v>
      </c>
    </row>
    <row r="481" spans="1:6">
      <c r="A481" t="str">
        <f>"T475-393"</f>
        <v>T475-393</v>
      </c>
      <c r="B481" t="str">
        <f t="shared" si="29"/>
        <v>COMUNAGLIE DI VOLTRI</v>
      </c>
      <c r="C481" t="str">
        <f t="shared" si="27"/>
        <v>2</v>
      </c>
      <c r="D481">
        <v>13</v>
      </c>
      <c r="E481" t="str">
        <f>"17"</f>
        <v>17</v>
      </c>
      <c r="F481" t="str">
        <f t="shared" si="28"/>
        <v>0000</v>
      </c>
    </row>
    <row r="482" spans="1:6">
      <c r="A482" t="str">
        <f>"T475-394"</f>
        <v>T475-394</v>
      </c>
      <c r="B482" t="str">
        <f t="shared" si="29"/>
        <v>COMUNAGLIE DI VOLTRI</v>
      </c>
      <c r="C482" t="str">
        <f t="shared" si="27"/>
        <v>2</v>
      </c>
      <c r="D482">
        <v>13</v>
      </c>
      <c r="E482" t="str">
        <f>"18"</f>
        <v>18</v>
      </c>
      <c r="F482" t="str">
        <f t="shared" si="28"/>
        <v>0000</v>
      </c>
    </row>
    <row r="483" spans="1:6">
      <c r="A483" t="str">
        <f>"T475-395"</f>
        <v>T475-395</v>
      </c>
      <c r="B483" t="str">
        <f t="shared" si="29"/>
        <v>COMUNAGLIE DI VOLTRI</v>
      </c>
      <c r="C483" t="str">
        <f t="shared" si="27"/>
        <v>2</v>
      </c>
      <c r="D483">
        <v>13</v>
      </c>
      <c r="E483" t="str">
        <f>"19"</f>
        <v>19</v>
      </c>
      <c r="F483" t="str">
        <f t="shared" si="28"/>
        <v>0000</v>
      </c>
    </row>
    <row r="484" spans="1:6">
      <c r="A484" t="str">
        <f>"T475-396"</f>
        <v>T475-396</v>
      </c>
      <c r="B484" t="str">
        <f t="shared" si="29"/>
        <v>COMUNAGLIE DI VOLTRI</v>
      </c>
      <c r="C484" t="str">
        <f t="shared" si="27"/>
        <v>2</v>
      </c>
      <c r="D484">
        <v>13</v>
      </c>
      <c r="E484" t="str">
        <f>"20"</f>
        <v>20</v>
      </c>
      <c r="F484" t="str">
        <f t="shared" si="28"/>
        <v>0000</v>
      </c>
    </row>
    <row r="485" spans="1:6">
      <c r="A485" t="str">
        <f>"T475-397"</f>
        <v>T475-397</v>
      </c>
      <c r="B485" t="str">
        <f t="shared" si="29"/>
        <v>COMUNAGLIE DI VOLTRI</v>
      </c>
      <c r="C485" t="str">
        <f t="shared" si="27"/>
        <v>2</v>
      </c>
      <c r="D485">
        <v>13</v>
      </c>
      <c r="E485" t="str">
        <f>"21"</f>
        <v>21</v>
      </c>
      <c r="F485" t="str">
        <f t="shared" si="28"/>
        <v>0000</v>
      </c>
    </row>
    <row r="486" spans="1:6">
      <c r="A486" t="str">
        <f>"T475-398"</f>
        <v>T475-398</v>
      </c>
      <c r="B486" t="str">
        <f t="shared" si="29"/>
        <v>COMUNAGLIE DI VOLTRI</v>
      </c>
      <c r="C486" t="str">
        <f t="shared" si="27"/>
        <v>2</v>
      </c>
      <c r="D486">
        <v>13</v>
      </c>
      <c r="E486" t="str">
        <f>"22"</f>
        <v>22</v>
      </c>
      <c r="F486" t="str">
        <f t="shared" si="28"/>
        <v>0000</v>
      </c>
    </row>
    <row r="487" spans="1:6">
      <c r="A487" t="str">
        <f>"T475-399"</f>
        <v>T475-399</v>
      </c>
      <c r="B487" t="str">
        <f t="shared" si="29"/>
        <v>COMUNAGLIE DI VOLTRI</v>
      </c>
      <c r="C487" t="str">
        <f t="shared" si="27"/>
        <v>2</v>
      </c>
      <c r="D487">
        <v>13</v>
      </c>
      <c r="E487" t="str">
        <f>"23"</f>
        <v>23</v>
      </c>
      <c r="F487" t="str">
        <f t="shared" si="28"/>
        <v>0000</v>
      </c>
    </row>
    <row r="488" spans="1:6">
      <c r="A488" t="str">
        <f>"T475-400"</f>
        <v>T475-400</v>
      </c>
      <c r="B488" t="str">
        <f t="shared" si="29"/>
        <v>COMUNAGLIE DI VOLTRI</v>
      </c>
      <c r="C488" t="str">
        <f t="shared" si="27"/>
        <v>2</v>
      </c>
      <c r="D488">
        <v>13</v>
      </c>
      <c r="E488" t="str">
        <f>"24"</f>
        <v>24</v>
      </c>
      <c r="F488" t="str">
        <f t="shared" si="28"/>
        <v>0000</v>
      </c>
    </row>
    <row r="489" spans="1:6">
      <c r="A489" t="str">
        <f>"T475-401"</f>
        <v>T475-401</v>
      </c>
      <c r="B489" t="str">
        <f t="shared" si="29"/>
        <v>COMUNAGLIE DI VOLTRI</v>
      </c>
      <c r="C489" t="str">
        <f t="shared" si="27"/>
        <v>2</v>
      </c>
      <c r="D489">
        <v>14</v>
      </c>
      <c r="E489" t="str">
        <f>"1"</f>
        <v>1</v>
      </c>
      <c r="F489" t="str">
        <f t="shared" si="28"/>
        <v>0000</v>
      </c>
    </row>
    <row r="490" spans="1:6">
      <c r="A490" t="str">
        <f>"T475-402"</f>
        <v>T475-402</v>
      </c>
      <c r="B490" t="str">
        <f t="shared" si="29"/>
        <v>COMUNAGLIE DI VOLTRI</v>
      </c>
      <c r="C490" t="str">
        <f t="shared" si="27"/>
        <v>2</v>
      </c>
      <c r="D490">
        <v>14</v>
      </c>
      <c r="E490" t="str">
        <f>"2"</f>
        <v>2</v>
      </c>
      <c r="F490" t="str">
        <f t="shared" si="28"/>
        <v>0000</v>
      </c>
    </row>
    <row r="491" spans="1:6">
      <c r="A491" t="str">
        <f>"T475-403"</f>
        <v>T475-403</v>
      </c>
      <c r="B491" t="str">
        <f t="shared" si="29"/>
        <v>COMUNAGLIE DI VOLTRI</v>
      </c>
      <c r="C491" t="str">
        <f t="shared" si="27"/>
        <v>2</v>
      </c>
      <c r="D491">
        <v>14</v>
      </c>
      <c r="E491" t="str">
        <f>"3"</f>
        <v>3</v>
      </c>
      <c r="F491" t="str">
        <f t="shared" si="28"/>
        <v>0000</v>
      </c>
    </row>
    <row r="492" spans="1:6">
      <c r="A492" t="str">
        <f>"T475-404"</f>
        <v>T475-404</v>
      </c>
      <c r="B492" t="str">
        <f t="shared" si="29"/>
        <v>COMUNAGLIE DI VOLTRI</v>
      </c>
      <c r="C492" t="str">
        <f t="shared" si="27"/>
        <v>2</v>
      </c>
      <c r="D492">
        <v>14</v>
      </c>
      <c r="E492" t="str">
        <f>"4"</f>
        <v>4</v>
      </c>
      <c r="F492" t="str">
        <f t="shared" si="28"/>
        <v>0000</v>
      </c>
    </row>
    <row r="493" spans="1:6">
      <c r="A493" t="str">
        <f>"T475-405"</f>
        <v>T475-405</v>
      </c>
      <c r="B493" t="str">
        <f t="shared" si="29"/>
        <v>COMUNAGLIE DI VOLTRI</v>
      </c>
      <c r="C493" t="str">
        <f t="shared" si="27"/>
        <v>2</v>
      </c>
      <c r="D493">
        <v>14</v>
      </c>
      <c r="E493" t="str">
        <f>"27"</f>
        <v>27</v>
      </c>
      <c r="F493" t="str">
        <f t="shared" si="28"/>
        <v>0000</v>
      </c>
    </row>
    <row r="494" spans="1:6">
      <c r="A494" t="str">
        <f>"T475-406"</f>
        <v>T475-406</v>
      </c>
      <c r="B494" t="str">
        <f t="shared" si="29"/>
        <v>COMUNAGLIE DI VOLTRI</v>
      </c>
      <c r="C494" t="str">
        <f t="shared" si="27"/>
        <v>2</v>
      </c>
      <c r="D494">
        <v>14</v>
      </c>
      <c r="E494" t="str">
        <f>"31"</f>
        <v>31</v>
      </c>
      <c r="F494" t="str">
        <f t="shared" si="28"/>
        <v>0000</v>
      </c>
    </row>
    <row r="495" spans="1:6">
      <c r="A495" t="str">
        <f>"T475-407"</f>
        <v>T475-407</v>
      </c>
      <c r="B495" t="str">
        <f t="shared" si="29"/>
        <v>COMUNAGLIE DI VOLTRI</v>
      </c>
      <c r="C495" t="str">
        <f t="shared" si="27"/>
        <v>2</v>
      </c>
      <c r="D495">
        <v>14</v>
      </c>
      <c r="E495" t="str">
        <f>"32"</f>
        <v>32</v>
      </c>
      <c r="F495" t="str">
        <f t="shared" si="28"/>
        <v>0000</v>
      </c>
    </row>
    <row r="496" spans="1:6">
      <c r="A496" t="str">
        <f>"T475-408"</f>
        <v>T475-408</v>
      </c>
      <c r="B496" t="str">
        <f t="shared" si="29"/>
        <v>COMUNAGLIE DI VOLTRI</v>
      </c>
      <c r="C496" t="str">
        <f t="shared" si="27"/>
        <v>2</v>
      </c>
      <c r="D496">
        <v>14</v>
      </c>
      <c r="E496" t="str">
        <f>"33"</f>
        <v>33</v>
      </c>
      <c r="F496" t="str">
        <f t="shared" si="28"/>
        <v>0000</v>
      </c>
    </row>
    <row r="497" spans="1:6">
      <c r="A497" t="str">
        <f>"T475-409"</f>
        <v>T475-409</v>
      </c>
      <c r="B497" t="str">
        <f t="shared" si="29"/>
        <v>COMUNAGLIE DI VOLTRI</v>
      </c>
      <c r="C497" t="str">
        <f t="shared" si="27"/>
        <v>2</v>
      </c>
      <c r="D497">
        <v>14</v>
      </c>
      <c r="E497" t="str">
        <f>"34"</f>
        <v>34</v>
      </c>
      <c r="F497" t="str">
        <f t="shared" si="28"/>
        <v>0000</v>
      </c>
    </row>
    <row r="498" spans="1:6">
      <c r="A498" t="str">
        <f>"T475-410"</f>
        <v>T475-410</v>
      </c>
      <c r="B498" t="str">
        <f t="shared" si="29"/>
        <v>COMUNAGLIE DI VOLTRI</v>
      </c>
      <c r="C498" t="str">
        <f t="shared" si="27"/>
        <v>2</v>
      </c>
      <c r="D498">
        <v>14</v>
      </c>
      <c r="E498" t="str">
        <f>"35"</f>
        <v>35</v>
      </c>
      <c r="F498" t="str">
        <f t="shared" si="28"/>
        <v>0000</v>
      </c>
    </row>
    <row r="499" spans="1:6">
      <c r="A499" t="str">
        <f>"T475-411"</f>
        <v>T475-411</v>
      </c>
      <c r="B499" t="str">
        <f t="shared" si="29"/>
        <v>COMUNAGLIE DI VOLTRI</v>
      </c>
      <c r="C499" t="str">
        <f t="shared" si="27"/>
        <v>2</v>
      </c>
      <c r="D499">
        <v>14</v>
      </c>
      <c r="E499" t="str">
        <f>"36"</f>
        <v>36</v>
      </c>
      <c r="F499" t="str">
        <f t="shared" si="28"/>
        <v>0000</v>
      </c>
    </row>
    <row r="500" spans="1:6">
      <c r="A500" t="str">
        <f>"T475-412"</f>
        <v>T475-412</v>
      </c>
      <c r="B500" t="str">
        <f t="shared" si="29"/>
        <v>COMUNAGLIE DI VOLTRI</v>
      </c>
      <c r="C500" t="str">
        <f t="shared" si="27"/>
        <v>2</v>
      </c>
      <c r="D500">
        <v>14</v>
      </c>
      <c r="E500" t="str">
        <f>"37"</f>
        <v>37</v>
      </c>
      <c r="F500" t="str">
        <f t="shared" si="28"/>
        <v>0000</v>
      </c>
    </row>
    <row r="501" spans="1:6">
      <c r="A501" t="str">
        <f>"T475-413"</f>
        <v>T475-413</v>
      </c>
      <c r="B501" t="str">
        <f t="shared" si="29"/>
        <v>COMUNAGLIE DI VOLTRI</v>
      </c>
      <c r="C501" t="str">
        <f t="shared" si="27"/>
        <v>2</v>
      </c>
      <c r="D501">
        <v>14</v>
      </c>
      <c r="E501" t="str">
        <f>"38"</f>
        <v>38</v>
      </c>
      <c r="F501" t="str">
        <f t="shared" si="28"/>
        <v>0000</v>
      </c>
    </row>
    <row r="502" spans="1:6">
      <c r="A502" t="str">
        <f>"T475-414"</f>
        <v>T475-414</v>
      </c>
      <c r="B502" t="str">
        <f t="shared" si="29"/>
        <v>COMUNAGLIE DI VOLTRI</v>
      </c>
      <c r="C502" t="str">
        <f t="shared" si="27"/>
        <v>2</v>
      </c>
      <c r="D502">
        <v>14</v>
      </c>
      <c r="E502" t="str">
        <f>"39"</f>
        <v>39</v>
      </c>
      <c r="F502" t="str">
        <f t="shared" si="28"/>
        <v>0000</v>
      </c>
    </row>
    <row r="503" spans="1:6">
      <c r="A503" t="str">
        <f>"T475-415"</f>
        <v>T475-415</v>
      </c>
      <c r="B503" t="str">
        <f t="shared" si="29"/>
        <v>COMUNAGLIE DI VOLTRI</v>
      </c>
      <c r="C503" t="str">
        <f t="shared" si="27"/>
        <v>2</v>
      </c>
      <c r="D503">
        <v>14</v>
      </c>
      <c r="E503" t="str">
        <f>"40"</f>
        <v>40</v>
      </c>
      <c r="F503" t="str">
        <f t="shared" si="28"/>
        <v>0000</v>
      </c>
    </row>
    <row r="504" spans="1:6">
      <c r="A504" t="str">
        <f>"T475-416"</f>
        <v>T475-416</v>
      </c>
      <c r="B504" t="str">
        <f t="shared" si="29"/>
        <v>COMUNAGLIE DI VOLTRI</v>
      </c>
      <c r="C504" t="str">
        <f t="shared" si="27"/>
        <v>2</v>
      </c>
      <c r="D504">
        <v>14</v>
      </c>
      <c r="E504" t="str">
        <f>"41"</f>
        <v>41</v>
      </c>
      <c r="F504" t="str">
        <f t="shared" si="28"/>
        <v>0000</v>
      </c>
    </row>
    <row r="505" spans="1:6">
      <c r="A505" t="str">
        <f>"T475-417"</f>
        <v>T475-417</v>
      </c>
      <c r="B505" t="str">
        <f t="shared" si="29"/>
        <v>COMUNAGLIE DI VOLTRI</v>
      </c>
      <c r="C505" t="str">
        <f t="shared" si="27"/>
        <v>2</v>
      </c>
      <c r="D505">
        <v>14</v>
      </c>
      <c r="E505" t="str">
        <f>"47"</f>
        <v>47</v>
      </c>
      <c r="F505" t="str">
        <f t="shared" si="28"/>
        <v>0000</v>
      </c>
    </row>
    <row r="506" spans="1:6">
      <c r="A506" t="str">
        <f>"T475-418"</f>
        <v>T475-418</v>
      </c>
      <c r="B506" t="str">
        <f t="shared" si="29"/>
        <v>COMUNAGLIE DI VOLTRI</v>
      </c>
      <c r="C506" t="str">
        <f t="shared" si="27"/>
        <v>2</v>
      </c>
      <c r="D506">
        <v>14</v>
      </c>
      <c r="E506" t="str">
        <f>"52"</f>
        <v>52</v>
      </c>
      <c r="F506" t="str">
        <f t="shared" si="28"/>
        <v>0000</v>
      </c>
    </row>
    <row r="507" spans="1:6">
      <c r="A507" t="str">
        <f>"T475-419"</f>
        <v>T475-419</v>
      </c>
      <c r="B507" t="str">
        <f t="shared" si="29"/>
        <v>COMUNAGLIE DI VOLTRI</v>
      </c>
      <c r="C507" t="str">
        <f t="shared" si="27"/>
        <v>2</v>
      </c>
      <c r="D507">
        <v>14</v>
      </c>
      <c r="E507" t="str">
        <f>"54"</f>
        <v>54</v>
      </c>
      <c r="F507" t="str">
        <f t="shared" si="28"/>
        <v>0000</v>
      </c>
    </row>
    <row r="508" spans="1:6">
      <c r="A508" t="str">
        <f>"T475-420"</f>
        <v>T475-420</v>
      </c>
      <c r="B508" t="str">
        <f t="shared" si="29"/>
        <v>COMUNAGLIE DI VOLTRI</v>
      </c>
      <c r="C508" t="str">
        <f t="shared" si="27"/>
        <v>2</v>
      </c>
      <c r="D508">
        <v>14</v>
      </c>
      <c r="E508" t="str">
        <f>"55"</f>
        <v>55</v>
      </c>
      <c r="F508" t="str">
        <f t="shared" si="28"/>
        <v>0000</v>
      </c>
    </row>
    <row r="509" spans="1:6">
      <c r="A509" t="str">
        <f>"T475-421"</f>
        <v>T475-421</v>
      </c>
      <c r="B509" t="str">
        <f t="shared" si="29"/>
        <v>COMUNAGLIE DI VOLTRI</v>
      </c>
      <c r="C509" t="str">
        <f t="shared" si="27"/>
        <v>2</v>
      </c>
      <c r="D509">
        <v>14</v>
      </c>
      <c r="E509" t="str">
        <f>"57"</f>
        <v>57</v>
      </c>
      <c r="F509" t="str">
        <f t="shared" si="28"/>
        <v>0000</v>
      </c>
    </row>
    <row r="510" spans="1:6">
      <c r="A510" t="str">
        <f>"T475-422"</f>
        <v>T475-422</v>
      </c>
      <c r="B510" t="str">
        <f t="shared" si="29"/>
        <v>COMUNAGLIE DI VOLTRI</v>
      </c>
      <c r="C510" t="str">
        <f t="shared" si="27"/>
        <v>2</v>
      </c>
      <c r="D510">
        <v>14</v>
      </c>
      <c r="E510" t="str">
        <f>"58"</f>
        <v>58</v>
      </c>
      <c r="F510" t="str">
        <f t="shared" si="28"/>
        <v>0000</v>
      </c>
    </row>
    <row r="511" spans="1:6">
      <c r="A511" t="str">
        <f>"T475-423"</f>
        <v>T475-423</v>
      </c>
      <c r="B511" t="str">
        <f t="shared" si="29"/>
        <v>COMUNAGLIE DI VOLTRI</v>
      </c>
      <c r="C511" t="str">
        <f t="shared" ref="C511:C574" si="30">"2"</f>
        <v>2</v>
      </c>
      <c r="D511">
        <v>14</v>
      </c>
      <c r="E511" t="str">
        <f>"59"</f>
        <v>59</v>
      </c>
      <c r="F511" t="str">
        <f t="shared" si="28"/>
        <v>0000</v>
      </c>
    </row>
    <row r="512" spans="1:6">
      <c r="A512" t="str">
        <f>"T475-424"</f>
        <v>T475-424</v>
      </c>
      <c r="B512" t="str">
        <f t="shared" si="29"/>
        <v>COMUNAGLIE DI VOLTRI</v>
      </c>
      <c r="C512" t="str">
        <f t="shared" si="30"/>
        <v>2</v>
      </c>
      <c r="D512">
        <v>14</v>
      </c>
      <c r="E512" t="str">
        <f>"60"</f>
        <v>60</v>
      </c>
      <c r="F512" t="str">
        <f t="shared" si="28"/>
        <v>0000</v>
      </c>
    </row>
    <row r="513" spans="1:6">
      <c r="A513" t="str">
        <f>"T475-425"</f>
        <v>T475-425</v>
      </c>
      <c r="B513" t="str">
        <f t="shared" si="29"/>
        <v>COMUNAGLIE DI VOLTRI</v>
      </c>
      <c r="C513" t="str">
        <f t="shared" si="30"/>
        <v>2</v>
      </c>
      <c r="D513">
        <v>14</v>
      </c>
      <c r="E513" t="str">
        <f>"61"</f>
        <v>61</v>
      </c>
      <c r="F513" t="str">
        <f t="shared" si="28"/>
        <v>0000</v>
      </c>
    </row>
    <row r="514" spans="1:6">
      <c r="A514" t="str">
        <f>"T475-426"</f>
        <v>T475-426</v>
      </c>
      <c r="B514" t="str">
        <f t="shared" si="29"/>
        <v>COMUNAGLIE DI VOLTRI</v>
      </c>
      <c r="C514" t="str">
        <f t="shared" si="30"/>
        <v>2</v>
      </c>
      <c r="D514">
        <v>14</v>
      </c>
      <c r="E514" t="str">
        <f>"62"</f>
        <v>62</v>
      </c>
      <c r="F514" t="str">
        <f t="shared" ref="F514:F577" si="31">"0000"</f>
        <v>0000</v>
      </c>
    </row>
    <row r="515" spans="1:6">
      <c r="A515" t="str">
        <f>"T475-427"</f>
        <v>T475-427</v>
      </c>
      <c r="B515" t="str">
        <f t="shared" si="29"/>
        <v>COMUNAGLIE DI VOLTRI</v>
      </c>
      <c r="C515" t="str">
        <f t="shared" si="30"/>
        <v>2</v>
      </c>
      <c r="D515">
        <v>14</v>
      </c>
      <c r="E515" t="str">
        <f>"63"</f>
        <v>63</v>
      </c>
      <c r="F515" t="str">
        <f t="shared" si="31"/>
        <v>0000</v>
      </c>
    </row>
    <row r="516" spans="1:6">
      <c r="A516" t="str">
        <f>"T475-428"</f>
        <v>T475-428</v>
      </c>
      <c r="B516" t="str">
        <f t="shared" si="29"/>
        <v>COMUNAGLIE DI VOLTRI</v>
      </c>
      <c r="C516" t="str">
        <f t="shared" si="30"/>
        <v>2</v>
      </c>
      <c r="D516">
        <v>14</v>
      </c>
      <c r="E516" t="str">
        <f>"64"</f>
        <v>64</v>
      </c>
      <c r="F516" t="str">
        <f t="shared" si="31"/>
        <v>0000</v>
      </c>
    </row>
    <row r="517" spans="1:6">
      <c r="A517" t="str">
        <f>"T475-429"</f>
        <v>T475-429</v>
      </c>
      <c r="B517" t="str">
        <f t="shared" si="29"/>
        <v>COMUNAGLIE DI VOLTRI</v>
      </c>
      <c r="C517" t="str">
        <f t="shared" si="30"/>
        <v>2</v>
      </c>
      <c r="D517">
        <v>14</v>
      </c>
      <c r="E517" t="str">
        <f>"65"</f>
        <v>65</v>
      </c>
      <c r="F517" t="str">
        <f t="shared" si="31"/>
        <v>0000</v>
      </c>
    </row>
    <row r="518" spans="1:6">
      <c r="A518" t="str">
        <f>"T475-430"</f>
        <v>T475-430</v>
      </c>
      <c r="B518" t="str">
        <f t="shared" si="29"/>
        <v>COMUNAGLIE DI VOLTRI</v>
      </c>
      <c r="C518" t="str">
        <f t="shared" si="30"/>
        <v>2</v>
      </c>
      <c r="D518">
        <v>14</v>
      </c>
      <c r="E518" t="str">
        <f>"66"</f>
        <v>66</v>
      </c>
      <c r="F518" t="str">
        <f t="shared" si="31"/>
        <v>0000</v>
      </c>
    </row>
    <row r="519" spans="1:6">
      <c r="A519" t="str">
        <f>"T475-431"</f>
        <v>T475-431</v>
      </c>
      <c r="B519" t="str">
        <f t="shared" si="29"/>
        <v>COMUNAGLIE DI VOLTRI</v>
      </c>
      <c r="C519" t="str">
        <f t="shared" si="30"/>
        <v>2</v>
      </c>
      <c r="D519">
        <v>14</v>
      </c>
      <c r="E519" t="str">
        <f>"67"</f>
        <v>67</v>
      </c>
      <c r="F519" t="str">
        <f t="shared" si="31"/>
        <v>0000</v>
      </c>
    </row>
    <row r="520" spans="1:6">
      <c r="A520" t="str">
        <f>"T475-432"</f>
        <v>T475-432</v>
      </c>
      <c r="B520" t="str">
        <f t="shared" si="29"/>
        <v>COMUNAGLIE DI VOLTRI</v>
      </c>
      <c r="C520" t="str">
        <f t="shared" si="30"/>
        <v>2</v>
      </c>
      <c r="D520">
        <v>14</v>
      </c>
      <c r="E520" t="str">
        <f>"68"</f>
        <v>68</v>
      </c>
      <c r="F520" t="str">
        <f t="shared" si="31"/>
        <v>0000</v>
      </c>
    </row>
    <row r="521" spans="1:6">
      <c r="A521" t="str">
        <f>"T475-433"</f>
        <v>T475-433</v>
      </c>
      <c r="B521" t="str">
        <f t="shared" si="29"/>
        <v>COMUNAGLIE DI VOLTRI</v>
      </c>
      <c r="C521" t="str">
        <f t="shared" si="30"/>
        <v>2</v>
      </c>
      <c r="D521">
        <v>14</v>
      </c>
      <c r="E521" t="str">
        <f>"69"</f>
        <v>69</v>
      </c>
      <c r="F521" t="str">
        <f t="shared" si="31"/>
        <v>0000</v>
      </c>
    </row>
    <row r="522" spans="1:6">
      <c r="A522" t="str">
        <f>"T475-434"</f>
        <v>T475-434</v>
      </c>
      <c r="B522" t="str">
        <f t="shared" si="29"/>
        <v>COMUNAGLIE DI VOLTRI</v>
      </c>
      <c r="C522" t="str">
        <f t="shared" si="30"/>
        <v>2</v>
      </c>
      <c r="D522">
        <v>14</v>
      </c>
      <c r="E522" t="str">
        <f>"70"</f>
        <v>70</v>
      </c>
      <c r="F522" t="str">
        <f t="shared" si="31"/>
        <v>0000</v>
      </c>
    </row>
    <row r="523" spans="1:6">
      <c r="A523" t="str">
        <f>"T475-435"</f>
        <v>T475-435</v>
      </c>
      <c r="B523" t="str">
        <f t="shared" si="29"/>
        <v>COMUNAGLIE DI VOLTRI</v>
      </c>
      <c r="C523" t="str">
        <f t="shared" si="30"/>
        <v>2</v>
      </c>
      <c r="D523">
        <v>14</v>
      </c>
      <c r="E523" t="str">
        <f>"71"</f>
        <v>71</v>
      </c>
      <c r="F523" t="str">
        <f t="shared" si="31"/>
        <v>0000</v>
      </c>
    </row>
    <row r="524" spans="1:6">
      <c r="A524" t="str">
        <f>"T475-436"</f>
        <v>T475-436</v>
      </c>
      <c r="B524" t="str">
        <f t="shared" si="29"/>
        <v>COMUNAGLIE DI VOLTRI</v>
      </c>
      <c r="C524" t="str">
        <f t="shared" si="30"/>
        <v>2</v>
      </c>
      <c r="D524">
        <v>14</v>
      </c>
      <c r="E524" t="str">
        <f>"72"</f>
        <v>72</v>
      </c>
      <c r="F524" t="str">
        <f t="shared" si="31"/>
        <v>0000</v>
      </c>
    </row>
    <row r="525" spans="1:6">
      <c r="A525" t="str">
        <f>"T475-437"</f>
        <v>T475-437</v>
      </c>
      <c r="B525" t="str">
        <f t="shared" si="29"/>
        <v>COMUNAGLIE DI VOLTRI</v>
      </c>
      <c r="C525" t="str">
        <f t="shared" si="30"/>
        <v>2</v>
      </c>
      <c r="D525">
        <v>14</v>
      </c>
      <c r="E525" t="str">
        <f>"73"</f>
        <v>73</v>
      </c>
      <c r="F525" t="str">
        <f t="shared" si="31"/>
        <v>0000</v>
      </c>
    </row>
    <row r="526" spans="1:6">
      <c r="A526" t="str">
        <f>"T475-438"</f>
        <v>T475-438</v>
      </c>
      <c r="B526" t="str">
        <f t="shared" si="29"/>
        <v>COMUNAGLIE DI VOLTRI</v>
      </c>
      <c r="C526" t="str">
        <f t="shared" si="30"/>
        <v>2</v>
      </c>
      <c r="D526">
        <v>15</v>
      </c>
      <c r="E526" t="str">
        <f>"11"</f>
        <v>11</v>
      </c>
      <c r="F526" t="str">
        <f t="shared" si="31"/>
        <v>0000</v>
      </c>
    </row>
    <row r="527" spans="1:6">
      <c r="A527" t="str">
        <f>"T475-439"</f>
        <v>T475-439</v>
      </c>
      <c r="B527" t="str">
        <f t="shared" si="29"/>
        <v>COMUNAGLIE DI VOLTRI</v>
      </c>
      <c r="C527" t="str">
        <f t="shared" si="30"/>
        <v>2</v>
      </c>
      <c r="D527">
        <v>15</v>
      </c>
      <c r="E527" t="str">
        <f>"12"</f>
        <v>12</v>
      </c>
      <c r="F527" t="str">
        <f t="shared" si="31"/>
        <v>0000</v>
      </c>
    </row>
    <row r="528" spans="1:6">
      <c r="A528" t="str">
        <f>"T475-440"</f>
        <v>T475-440</v>
      </c>
      <c r="B528" t="str">
        <f t="shared" si="29"/>
        <v>COMUNAGLIE DI VOLTRI</v>
      </c>
      <c r="C528" t="str">
        <f t="shared" si="30"/>
        <v>2</v>
      </c>
      <c r="D528">
        <v>15</v>
      </c>
      <c r="E528" t="str">
        <f>"13"</f>
        <v>13</v>
      </c>
      <c r="F528" t="str">
        <f t="shared" si="31"/>
        <v>0000</v>
      </c>
    </row>
    <row r="529" spans="1:6">
      <c r="A529" t="str">
        <f>"T475-441"</f>
        <v>T475-441</v>
      </c>
      <c r="B529" t="str">
        <f t="shared" si="29"/>
        <v>COMUNAGLIE DI VOLTRI</v>
      </c>
      <c r="C529" t="str">
        <f t="shared" si="30"/>
        <v>2</v>
      </c>
      <c r="D529">
        <v>15</v>
      </c>
      <c r="E529" t="str">
        <f>"165"</f>
        <v>165</v>
      </c>
      <c r="F529" t="str">
        <f t="shared" si="31"/>
        <v>0000</v>
      </c>
    </row>
    <row r="530" spans="1:6">
      <c r="A530" t="str">
        <f>"T475-442"</f>
        <v>T475-442</v>
      </c>
      <c r="B530" t="str">
        <f t="shared" si="29"/>
        <v>COMUNAGLIE DI VOLTRI</v>
      </c>
      <c r="C530" t="str">
        <f t="shared" si="30"/>
        <v>2</v>
      </c>
      <c r="D530">
        <v>15</v>
      </c>
      <c r="E530" t="str">
        <f>"213"</f>
        <v>213</v>
      </c>
      <c r="F530" t="str">
        <f t="shared" si="31"/>
        <v>0000</v>
      </c>
    </row>
    <row r="531" spans="1:6">
      <c r="A531" t="str">
        <f>"T475-443"</f>
        <v>T475-443</v>
      </c>
      <c r="B531" t="str">
        <f t="shared" si="29"/>
        <v>COMUNAGLIE DI VOLTRI</v>
      </c>
      <c r="C531" t="str">
        <f t="shared" si="30"/>
        <v>2</v>
      </c>
      <c r="D531">
        <v>15</v>
      </c>
      <c r="E531" t="str">
        <f>"214"</f>
        <v>214</v>
      </c>
      <c r="F531" t="str">
        <f t="shared" si="31"/>
        <v>0000</v>
      </c>
    </row>
    <row r="532" spans="1:6">
      <c r="A532" t="str">
        <f>"T475-444"</f>
        <v>T475-444</v>
      </c>
      <c r="B532" t="str">
        <f t="shared" si="29"/>
        <v>COMUNAGLIE DI VOLTRI</v>
      </c>
      <c r="C532" t="str">
        <f t="shared" si="30"/>
        <v>2</v>
      </c>
      <c r="D532">
        <v>15</v>
      </c>
      <c r="E532" t="str">
        <f>"215"</f>
        <v>215</v>
      </c>
      <c r="F532" t="str">
        <f t="shared" si="31"/>
        <v>0000</v>
      </c>
    </row>
    <row r="533" spans="1:6">
      <c r="A533" t="str">
        <f>"T475-445"</f>
        <v>T475-445</v>
      </c>
      <c r="B533" t="str">
        <f t="shared" si="29"/>
        <v>COMUNAGLIE DI VOLTRI</v>
      </c>
      <c r="C533" t="str">
        <f t="shared" si="30"/>
        <v>2</v>
      </c>
      <c r="D533">
        <v>15</v>
      </c>
      <c r="E533" t="str">
        <f>"217"</f>
        <v>217</v>
      </c>
      <c r="F533" t="str">
        <f t="shared" si="31"/>
        <v>0000</v>
      </c>
    </row>
    <row r="534" spans="1:6">
      <c r="A534" t="str">
        <f>"T475-446"</f>
        <v>T475-446</v>
      </c>
      <c r="B534" t="str">
        <f t="shared" si="29"/>
        <v>COMUNAGLIE DI VOLTRI</v>
      </c>
      <c r="C534" t="str">
        <f t="shared" si="30"/>
        <v>2</v>
      </c>
      <c r="D534">
        <v>15</v>
      </c>
      <c r="E534" t="str">
        <f>"218"</f>
        <v>218</v>
      </c>
      <c r="F534" t="str">
        <f t="shared" si="31"/>
        <v>0000</v>
      </c>
    </row>
    <row r="535" spans="1:6">
      <c r="A535" t="str">
        <f>"T475-447"</f>
        <v>T475-447</v>
      </c>
      <c r="B535" t="str">
        <f t="shared" si="29"/>
        <v>COMUNAGLIE DI VOLTRI</v>
      </c>
      <c r="C535" t="str">
        <f t="shared" si="30"/>
        <v>2</v>
      </c>
      <c r="D535">
        <v>15</v>
      </c>
      <c r="E535" t="str">
        <f>"223"</f>
        <v>223</v>
      </c>
      <c r="F535" t="str">
        <f t="shared" si="31"/>
        <v>0000</v>
      </c>
    </row>
    <row r="536" spans="1:6">
      <c r="A536" t="str">
        <f>"T475-448"</f>
        <v>T475-448</v>
      </c>
      <c r="B536" t="str">
        <f t="shared" si="29"/>
        <v>COMUNAGLIE DI VOLTRI</v>
      </c>
      <c r="C536" t="str">
        <f t="shared" si="30"/>
        <v>2</v>
      </c>
      <c r="D536">
        <v>15</v>
      </c>
      <c r="E536" t="str">
        <f>"224"</f>
        <v>224</v>
      </c>
      <c r="F536" t="str">
        <f t="shared" si="31"/>
        <v>0000</v>
      </c>
    </row>
    <row r="537" spans="1:6">
      <c r="A537" t="str">
        <f>"T475-449"</f>
        <v>T475-449</v>
      </c>
      <c r="B537" t="str">
        <f t="shared" ref="B537:B600" si="32">"COMUNAGLIE DI VOLTRI"</f>
        <v>COMUNAGLIE DI VOLTRI</v>
      </c>
      <c r="C537" t="str">
        <f t="shared" si="30"/>
        <v>2</v>
      </c>
      <c r="D537">
        <v>15</v>
      </c>
      <c r="E537" t="str">
        <f>"225"</f>
        <v>225</v>
      </c>
      <c r="F537" t="str">
        <f t="shared" si="31"/>
        <v>0000</v>
      </c>
    </row>
    <row r="538" spans="1:6">
      <c r="A538" t="str">
        <f>"T475-450"</f>
        <v>T475-450</v>
      </c>
      <c r="B538" t="str">
        <f t="shared" si="32"/>
        <v>COMUNAGLIE DI VOLTRI</v>
      </c>
      <c r="C538" t="str">
        <f t="shared" si="30"/>
        <v>2</v>
      </c>
      <c r="D538">
        <v>15</v>
      </c>
      <c r="E538" t="str">
        <f>"240"</f>
        <v>240</v>
      </c>
      <c r="F538" t="str">
        <f t="shared" si="31"/>
        <v>0000</v>
      </c>
    </row>
    <row r="539" spans="1:6">
      <c r="A539" t="str">
        <f>"T475-451"</f>
        <v>T475-451</v>
      </c>
      <c r="B539" t="str">
        <f t="shared" si="32"/>
        <v>COMUNAGLIE DI VOLTRI</v>
      </c>
      <c r="C539" t="str">
        <f t="shared" si="30"/>
        <v>2</v>
      </c>
      <c r="D539">
        <v>15</v>
      </c>
      <c r="E539" t="str">
        <f>"244"</f>
        <v>244</v>
      </c>
      <c r="F539" t="str">
        <f t="shared" si="31"/>
        <v>0000</v>
      </c>
    </row>
    <row r="540" spans="1:6">
      <c r="A540" t="str">
        <f>"T475-452"</f>
        <v>T475-452</v>
      </c>
      <c r="B540" t="str">
        <f t="shared" si="32"/>
        <v>COMUNAGLIE DI VOLTRI</v>
      </c>
      <c r="C540" t="str">
        <f t="shared" si="30"/>
        <v>2</v>
      </c>
      <c r="D540">
        <v>15</v>
      </c>
      <c r="E540" t="str">
        <f>"308"</f>
        <v>308</v>
      </c>
      <c r="F540" t="str">
        <f t="shared" si="31"/>
        <v>0000</v>
      </c>
    </row>
    <row r="541" spans="1:6">
      <c r="A541" t="str">
        <f>"T475-453"</f>
        <v>T475-453</v>
      </c>
      <c r="B541" t="str">
        <f t="shared" si="32"/>
        <v>COMUNAGLIE DI VOLTRI</v>
      </c>
      <c r="C541" t="str">
        <f t="shared" si="30"/>
        <v>2</v>
      </c>
      <c r="D541">
        <v>15</v>
      </c>
      <c r="E541" t="str">
        <f>"341"</f>
        <v>341</v>
      </c>
      <c r="F541" t="str">
        <f t="shared" si="31"/>
        <v>0000</v>
      </c>
    </row>
    <row r="542" spans="1:6">
      <c r="A542" t="str">
        <f>"T475-454"</f>
        <v>T475-454</v>
      </c>
      <c r="B542" t="str">
        <f t="shared" si="32"/>
        <v>COMUNAGLIE DI VOLTRI</v>
      </c>
      <c r="C542" t="str">
        <f t="shared" si="30"/>
        <v>2</v>
      </c>
      <c r="D542">
        <v>16</v>
      </c>
      <c r="E542" t="str">
        <f>"1"</f>
        <v>1</v>
      </c>
      <c r="F542" t="str">
        <f t="shared" si="31"/>
        <v>0000</v>
      </c>
    </row>
    <row r="543" spans="1:6">
      <c r="A543" t="str">
        <f>"T475-455"</f>
        <v>T475-455</v>
      </c>
      <c r="B543" t="str">
        <f t="shared" si="32"/>
        <v>COMUNAGLIE DI VOLTRI</v>
      </c>
      <c r="C543" t="str">
        <f t="shared" si="30"/>
        <v>2</v>
      </c>
      <c r="D543">
        <v>16</v>
      </c>
      <c r="E543" t="str">
        <f>"2"</f>
        <v>2</v>
      </c>
      <c r="F543" t="str">
        <f t="shared" si="31"/>
        <v>0000</v>
      </c>
    </row>
    <row r="544" spans="1:6">
      <c r="A544" t="str">
        <f>"T475-456"</f>
        <v>T475-456</v>
      </c>
      <c r="B544" t="str">
        <f t="shared" si="32"/>
        <v>COMUNAGLIE DI VOLTRI</v>
      </c>
      <c r="C544" t="str">
        <f t="shared" si="30"/>
        <v>2</v>
      </c>
      <c r="D544">
        <v>16</v>
      </c>
      <c r="E544" t="str">
        <f>"3"</f>
        <v>3</v>
      </c>
      <c r="F544" t="str">
        <f t="shared" si="31"/>
        <v>0000</v>
      </c>
    </row>
    <row r="545" spans="1:6">
      <c r="A545" t="str">
        <f>"T475-457"</f>
        <v>T475-457</v>
      </c>
      <c r="B545" t="str">
        <f t="shared" si="32"/>
        <v>COMUNAGLIE DI VOLTRI</v>
      </c>
      <c r="C545" t="str">
        <f t="shared" si="30"/>
        <v>2</v>
      </c>
      <c r="D545">
        <v>16</v>
      </c>
      <c r="E545" t="str">
        <f>"4"</f>
        <v>4</v>
      </c>
      <c r="F545" t="str">
        <f t="shared" si="31"/>
        <v>0000</v>
      </c>
    </row>
    <row r="546" spans="1:6">
      <c r="A546" t="str">
        <f>"T475-458"</f>
        <v>T475-458</v>
      </c>
      <c r="B546" t="str">
        <f t="shared" si="32"/>
        <v>COMUNAGLIE DI VOLTRI</v>
      </c>
      <c r="C546" t="str">
        <f t="shared" si="30"/>
        <v>2</v>
      </c>
      <c r="D546">
        <v>16</v>
      </c>
      <c r="E546" t="str">
        <f>"5"</f>
        <v>5</v>
      </c>
      <c r="F546" t="str">
        <f t="shared" si="31"/>
        <v>0000</v>
      </c>
    </row>
    <row r="547" spans="1:6">
      <c r="A547" t="str">
        <f>"T475-459"</f>
        <v>T475-459</v>
      </c>
      <c r="B547" t="str">
        <f t="shared" si="32"/>
        <v>COMUNAGLIE DI VOLTRI</v>
      </c>
      <c r="C547" t="str">
        <f t="shared" si="30"/>
        <v>2</v>
      </c>
      <c r="D547">
        <v>16</v>
      </c>
      <c r="E547" t="str">
        <f>"11"</f>
        <v>11</v>
      </c>
      <c r="F547" t="str">
        <f t="shared" si="31"/>
        <v>0000</v>
      </c>
    </row>
    <row r="548" spans="1:6">
      <c r="A548" t="str">
        <f>"T475-460"</f>
        <v>T475-460</v>
      </c>
      <c r="B548" t="str">
        <f t="shared" si="32"/>
        <v>COMUNAGLIE DI VOLTRI</v>
      </c>
      <c r="C548" t="str">
        <f t="shared" si="30"/>
        <v>2</v>
      </c>
      <c r="D548">
        <v>16</v>
      </c>
      <c r="E548" t="str">
        <f>"12"</f>
        <v>12</v>
      </c>
      <c r="F548" t="str">
        <f t="shared" si="31"/>
        <v>0000</v>
      </c>
    </row>
    <row r="549" spans="1:6">
      <c r="A549" t="str">
        <f>"T475-461"</f>
        <v>T475-461</v>
      </c>
      <c r="B549" t="str">
        <f t="shared" si="32"/>
        <v>COMUNAGLIE DI VOLTRI</v>
      </c>
      <c r="C549" t="str">
        <f t="shared" si="30"/>
        <v>2</v>
      </c>
      <c r="D549">
        <v>16</v>
      </c>
      <c r="E549" t="str">
        <f>"13"</f>
        <v>13</v>
      </c>
      <c r="F549" t="str">
        <f t="shared" si="31"/>
        <v>0000</v>
      </c>
    </row>
    <row r="550" spans="1:6">
      <c r="A550" t="str">
        <f>"T475-462"</f>
        <v>T475-462</v>
      </c>
      <c r="B550" t="str">
        <f t="shared" si="32"/>
        <v>COMUNAGLIE DI VOLTRI</v>
      </c>
      <c r="C550" t="str">
        <f t="shared" si="30"/>
        <v>2</v>
      </c>
      <c r="D550">
        <v>16</v>
      </c>
      <c r="E550" t="str">
        <f>"14"</f>
        <v>14</v>
      </c>
      <c r="F550" t="str">
        <f t="shared" si="31"/>
        <v>0000</v>
      </c>
    </row>
    <row r="551" spans="1:6">
      <c r="A551" t="str">
        <f>"T475-463"</f>
        <v>T475-463</v>
      </c>
      <c r="B551" t="str">
        <f t="shared" si="32"/>
        <v>COMUNAGLIE DI VOLTRI</v>
      </c>
      <c r="C551" t="str">
        <f t="shared" si="30"/>
        <v>2</v>
      </c>
      <c r="D551">
        <v>16</v>
      </c>
      <c r="E551" t="str">
        <f>"20"</f>
        <v>20</v>
      </c>
      <c r="F551" t="str">
        <f t="shared" si="31"/>
        <v>0000</v>
      </c>
    </row>
    <row r="552" spans="1:6">
      <c r="A552" t="str">
        <f>"T475-464"</f>
        <v>T475-464</v>
      </c>
      <c r="B552" t="str">
        <f t="shared" si="32"/>
        <v>COMUNAGLIE DI VOLTRI</v>
      </c>
      <c r="C552" t="str">
        <f t="shared" si="30"/>
        <v>2</v>
      </c>
      <c r="D552">
        <v>16</v>
      </c>
      <c r="E552" t="str">
        <f>"21"</f>
        <v>21</v>
      </c>
      <c r="F552" t="str">
        <f t="shared" si="31"/>
        <v>0000</v>
      </c>
    </row>
    <row r="553" spans="1:6">
      <c r="A553" t="str">
        <f>"T475-465"</f>
        <v>T475-465</v>
      </c>
      <c r="B553" t="str">
        <f t="shared" si="32"/>
        <v>COMUNAGLIE DI VOLTRI</v>
      </c>
      <c r="C553" t="str">
        <f t="shared" si="30"/>
        <v>2</v>
      </c>
      <c r="D553">
        <v>16</v>
      </c>
      <c r="E553" t="str">
        <f>"22"</f>
        <v>22</v>
      </c>
      <c r="F553" t="str">
        <f t="shared" si="31"/>
        <v>0000</v>
      </c>
    </row>
    <row r="554" spans="1:6">
      <c r="A554" t="str">
        <f>"T475-466"</f>
        <v>T475-466</v>
      </c>
      <c r="B554" t="str">
        <f t="shared" si="32"/>
        <v>COMUNAGLIE DI VOLTRI</v>
      </c>
      <c r="C554" t="str">
        <f t="shared" si="30"/>
        <v>2</v>
      </c>
      <c r="D554">
        <v>16</v>
      </c>
      <c r="E554" t="str">
        <f>"23"</f>
        <v>23</v>
      </c>
      <c r="F554" t="str">
        <f t="shared" si="31"/>
        <v>0000</v>
      </c>
    </row>
    <row r="555" spans="1:6">
      <c r="A555" t="str">
        <f>"T475-467"</f>
        <v>T475-467</v>
      </c>
      <c r="B555" t="str">
        <f t="shared" si="32"/>
        <v>COMUNAGLIE DI VOLTRI</v>
      </c>
      <c r="C555" t="str">
        <f t="shared" si="30"/>
        <v>2</v>
      </c>
      <c r="D555">
        <v>16</v>
      </c>
      <c r="E555" t="str">
        <f>"24"</f>
        <v>24</v>
      </c>
      <c r="F555" t="str">
        <f t="shared" si="31"/>
        <v>0000</v>
      </c>
    </row>
    <row r="556" spans="1:6">
      <c r="A556" t="str">
        <f>"T475-468"</f>
        <v>T475-468</v>
      </c>
      <c r="B556" t="str">
        <f t="shared" si="32"/>
        <v>COMUNAGLIE DI VOLTRI</v>
      </c>
      <c r="C556" t="str">
        <f t="shared" si="30"/>
        <v>2</v>
      </c>
      <c r="D556">
        <v>16</v>
      </c>
      <c r="E556" t="str">
        <f>"25"</f>
        <v>25</v>
      </c>
      <c r="F556" t="str">
        <f t="shared" si="31"/>
        <v>0000</v>
      </c>
    </row>
    <row r="557" spans="1:6">
      <c r="A557" t="str">
        <f>"T475-469"</f>
        <v>T475-469</v>
      </c>
      <c r="B557" t="str">
        <f t="shared" si="32"/>
        <v>COMUNAGLIE DI VOLTRI</v>
      </c>
      <c r="C557" t="str">
        <f t="shared" si="30"/>
        <v>2</v>
      </c>
      <c r="D557">
        <v>16</v>
      </c>
      <c r="E557" t="str">
        <f>"26"</f>
        <v>26</v>
      </c>
      <c r="F557" t="str">
        <f t="shared" si="31"/>
        <v>0000</v>
      </c>
    </row>
    <row r="558" spans="1:6">
      <c r="A558" t="str">
        <f>"T475-470"</f>
        <v>T475-470</v>
      </c>
      <c r="B558" t="str">
        <f t="shared" si="32"/>
        <v>COMUNAGLIE DI VOLTRI</v>
      </c>
      <c r="C558" t="str">
        <f t="shared" si="30"/>
        <v>2</v>
      </c>
      <c r="D558">
        <v>16</v>
      </c>
      <c r="E558" t="str">
        <f>"27"</f>
        <v>27</v>
      </c>
      <c r="F558" t="str">
        <f t="shared" si="31"/>
        <v>0000</v>
      </c>
    </row>
    <row r="559" spans="1:6">
      <c r="A559" t="str">
        <f>"T475-471"</f>
        <v>T475-471</v>
      </c>
      <c r="B559" t="str">
        <f t="shared" si="32"/>
        <v>COMUNAGLIE DI VOLTRI</v>
      </c>
      <c r="C559" t="str">
        <f t="shared" si="30"/>
        <v>2</v>
      </c>
      <c r="D559">
        <v>16</v>
      </c>
      <c r="E559" t="str">
        <f>"28"</f>
        <v>28</v>
      </c>
      <c r="F559" t="str">
        <f t="shared" si="31"/>
        <v>0000</v>
      </c>
    </row>
    <row r="560" spans="1:6">
      <c r="A560" t="str">
        <f>"T475-472"</f>
        <v>T475-472</v>
      </c>
      <c r="B560" t="str">
        <f t="shared" si="32"/>
        <v>COMUNAGLIE DI VOLTRI</v>
      </c>
      <c r="C560" t="str">
        <f t="shared" si="30"/>
        <v>2</v>
      </c>
      <c r="D560">
        <v>16</v>
      </c>
      <c r="E560" t="str">
        <f>"29"</f>
        <v>29</v>
      </c>
      <c r="F560" t="str">
        <f t="shared" si="31"/>
        <v>0000</v>
      </c>
    </row>
    <row r="561" spans="1:6">
      <c r="A561" t="str">
        <f>"T475-473"</f>
        <v>T475-473</v>
      </c>
      <c r="B561" t="str">
        <f t="shared" si="32"/>
        <v>COMUNAGLIE DI VOLTRI</v>
      </c>
      <c r="C561" t="str">
        <f t="shared" si="30"/>
        <v>2</v>
      </c>
      <c r="D561">
        <v>16</v>
      </c>
      <c r="E561" t="str">
        <f>"30"</f>
        <v>30</v>
      </c>
      <c r="F561" t="str">
        <f t="shared" si="31"/>
        <v>0000</v>
      </c>
    </row>
    <row r="562" spans="1:6">
      <c r="A562" t="str">
        <f>"T475-474"</f>
        <v>T475-474</v>
      </c>
      <c r="B562" t="str">
        <f t="shared" si="32"/>
        <v>COMUNAGLIE DI VOLTRI</v>
      </c>
      <c r="C562" t="str">
        <f t="shared" si="30"/>
        <v>2</v>
      </c>
      <c r="D562">
        <v>16</v>
      </c>
      <c r="E562" t="str">
        <f>"31"</f>
        <v>31</v>
      </c>
      <c r="F562" t="str">
        <f t="shared" si="31"/>
        <v>0000</v>
      </c>
    </row>
    <row r="563" spans="1:6">
      <c r="A563" t="str">
        <f>"T475-475"</f>
        <v>T475-475</v>
      </c>
      <c r="B563" t="str">
        <f t="shared" si="32"/>
        <v>COMUNAGLIE DI VOLTRI</v>
      </c>
      <c r="C563" t="str">
        <f t="shared" si="30"/>
        <v>2</v>
      </c>
      <c r="D563">
        <v>16</v>
      </c>
      <c r="E563" t="str">
        <f>"32"</f>
        <v>32</v>
      </c>
      <c r="F563" t="str">
        <f t="shared" si="31"/>
        <v>0000</v>
      </c>
    </row>
    <row r="564" spans="1:6">
      <c r="A564" t="str">
        <f>"T475-476"</f>
        <v>T475-476</v>
      </c>
      <c r="B564" t="str">
        <f t="shared" si="32"/>
        <v>COMUNAGLIE DI VOLTRI</v>
      </c>
      <c r="C564" t="str">
        <f t="shared" si="30"/>
        <v>2</v>
      </c>
      <c r="D564">
        <v>16</v>
      </c>
      <c r="E564" t="str">
        <f>"33"</f>
        <v>33</v>
      </c>
      <c r="F564" t="str">
        <f t="shared" si="31"/>
        <v>0000</v>
      </c>
    </row>
    <row r="565" spans="1:6">
      <c r="A565" t="str">
        <f>"T475-477"</f>
        <v>T475-477</v>
      </c>
      <c r="B565" t="str">
        <f t="shared" si="32"/>
        <v>COMUNAGLIE DI VOLTRI</v>
      </c>
      <c r="C565" t="str">
        <f t="shared" si="30"/>
        <v>2</v>
      </c>
      <c r="D565">
        <v>16</v>
      </c>
      <c r="E565" t="str">
        <f>"34"</f>
        <v>34</v>
      </c>
      <c r="F565" t="str">
        <f t="shared" si="31"/>
        <v>0000</v>
      </c>
    </row>
    <row r="566" spans="1:6">
      <c r="A566" t="str">
        <f>"T475-478"</f>
        <v>T475-478</v>
      </c>
      <c r="B566" t="str">
        <f t="shared" si="32"/>
        <v>COMUNAGLIE DI VOLTRI</v>
      </c>
      <c r="C566" t="str">
        <f t="shared" si="30"/>
        <v>2</v>
      </c>
      <c r="D566">
        <v>16</v>
      </c>
      <c r="E566" t="str">
        <f>"35"</f>
        <v>35</v>
      </c>
      <c r="F566" t="str">
        <f t="shared" si="31"/>
        <v>0000</v>
      </c>
    </row>
    <row r="567" spans="1:6">
      <c r="A567" t="str">
        <f>"T475-479"</f>
        <v>T475-479</v>
      </c>
      <c r="B567" t="str">
        <f t="shared" si="32"/>
        <v>COMUNAGLIE DI VOLTRI</v>
      </c>
      <c r="C567" t="str">
        <f t="shared" si="30"/>
        <v>2</v>
      </c>
      <c r="D567">
        <v>16</v>
      </c>
      <c r="E567" t="str">
        <f>"36"</f>
        <v>36</v>
      </c>
      <c r="F567" t="str">
        <f t="shared" si="31"/>
        <v>0000</v>
      </c>
    </row>
    <row r="568" spans="1:6">
      <c r="A568" t="str">
        <f>"T475-480"</f>
        <v>T475-480</v>
      </c>
      <c r="B568" t="str">
        <f t="shared" si="32"/>
        <v>COMUNAGLIE DI VOLTRI</v>
      </c>
      <c r="C568" t="str">
        <f t="shared" si="30"/>
        <v>2</v>
      </c>
      <c r="D568">
        <v>16</v>
      </c>
      <c r="E568" t="str">
        <f>"37"</f>
        <v>37</v>
      </c>
      <c r="F568" t="str">
        <f t="shared" si="31"/>
        <v>0000</v>
      </c>
    </row>
    <row r="569" spans="1:6">
      <c r="A569" t="str">
        <f>"T475-481"</f>
        <v>T475-481</v>
      </c>
      <c r="B569" t="str">
        <f t="shared" si="32"/>
        <v>COMUNAGLIE DI VOLTRI</v>
      </c>
      <c r="C569" t="str">
        <f t="shared" si="30"/>
        <v>2</v>
      </c>
      <c r="D569">
        <v>16</v>
      </c>
      <c r="E569" t="str">
        <f>"38"</f>
        <v>38</v>
      </c>
      <c r="F569" t="str">
        <f t="shared" si="31"/>
        <v>0000</v>
      </c>
    </row>
    <row r="570" spans="1:6">
      <c r="A570" t="str">
        <f>"T475-482"</f>
        <v>T475-482</v>
      </c>
      <c r="B570" t="str">
        <f t="shared" si="32"/>
        <v>COMUNAGLIE DI VOLTRI</v>
      </c>
      <c r="C570" t="str">
        <f t="shared" si="30"/>
        <v>2</v>
      </c>
      <c r="D570">
        <v>16</v>
      </c>
      <c r="E570" t="str">
        <f>"39"</f>
        <v>39</v>
      </c>
      <c r="F570" t="str">
        <f t="shared" si="31"/>
        <v>0000</v>
      </c>
    </row>
    <row r="571" spans="1:6">
      <c r="A571" t="str">
        <f>"T475-483"</f>
        <v>T475-483</v>
      </c>
      <c r="B571" t="str">
        <f t="shared" si="32"/>
        <v>COMUNAGLIE DI VOLTRI</v>
      </c>
      <c r="C571" t="str">
        <f t="shared" si="30"/>
        <v>2</v>
      </c>
      <c r="D571">
        <v>16</v>
      </c>
      <c r="E571" t="str">
        <f>"40"</f>
        <v>40</v>
      </c>
      <c r="F571" t="str">
        <f t="shared" si="31"/>
        <v>0000</v>
      </c>
    </row>
    <row r="572" spans="1:6">
      <c r="A572" t="str">
        <f>"T475-484"</f>
        <v>T475-484</v>
      </c>
      <c r="B572" t="str">
        <f t="shared" si="32"/>
        <v>COMUNAGLIE DI VOLTRI</v>
      </c>
      <c r="C572" t="str">
        <f t="shared" si="30"/>
        <v>2</v>
      </c>
      <c r="D572">
        <v>16</v>
      </c>
      <c r="E572" t="str">
        <f>"41"</f>
        <v>41</v>
      </c>
      <c r="F572" t="str">
        <f t="shared" si="31"/>
        <v>0000</v>
      </c>
    </row>
    <row r="573" spans="1:6">
      <c r="A573" t="str">
        <f>"T475-485"</f>
        <v>T475-485</v>
      </c>
      <c r="B573" t="str">
        <f t="shared" si="32"/>
        <v>COMUNAGLIE DI VOLTRI</v>
      </c>
      <c r="C573" t="str">
        <f t="shared" si="30"/>
        <v>2</v>
      </c>
      <c r="D573">
        <v>16</v>
      </c>
      <c r="E573" t="str">
        <f>"42"</f>
        <v>42</v>
      </c>
      <c r="F573" t="str">
        <f t="shared" si="31"/>
        <v>0000</v>
      </c>
    </row>
    <row r="574" spans="1:6">
      <c r="A574" t="str">
        <f>"T475-486"</f>
        <v>T475-486</v>
      </c>
      <c r="B574" t="str">
        <f t="shared" si="32"/>
        <v>COMUNAGLIE DI VOLTRI</v>
      </c>
      <c r="C574" t="str">
        <f t="shared" si="30"/>
        <v>2</v>
      </c>
      <c r="D574">
        <v>17</v>
      </c>
      <c r="E574" t="str">
        <f>"1"</f>
        <v>1</v>
      </c>
      <c r="F574" t="str">
        <f t="shared" si="31"/>
        <v>0000</v>
      </c>
    </row>
    <row r="575" spans="1:6">
      <c r="A575" t="str">
        <f>"T475-487"</f>
        <v>T475-487</v>
      </c>
      <c r="B575" t="str">
        <f t="shared" si="32"/>
        <v>COMUNAGLIE DI VOLTRI</v>
      </c>
      <c r="C575" t="str">
        <f t="shared" ref="C575:C638" si="33">"2"</f>
        <v>2</v>
      </c>
      <c r="D575">
        <v>17</v>
      </c>
      <c r="E575" t="str">
        <f>"2"</f>
        <v>2</v>
      </c>
      <c r="F575" t="str">
        <f t="shared" si="31"/>
        <v>0000</v>
      </c>
    </row>
    <row r="576" spans="1:6">
      <c r="A576" t="str">
        <f>"T475-488"</f>
        <v>T475-488</v>
      </c>
      <c r="B576" t="str">
        <f t="shared" si="32"/>
        <v>COMUNAGLIE DI VOLTRI</v>
      </c>
      <c r="C576" t="str">
        <f t="shared" si="33"/>
        <v>2</v>
      </c>
      <c r="D576">
        <v>17</v>
      </c>
      <c r="E576" t="str">
        <f>"3"</f>
        <v>3</v>
      </c>
      <c r="F576" t="str">
        <f t="shared" si="31"/>
        <v>0000</v>
      </c>
    </row>
    <row r="577" spans="1:6">
      <c r="A577" t="str">
        <f>"T475-489"</f>
        <v>T475-489</v>
      </c>
      <c r="B577" t="str">
        <f t="shared" si="32"/>
        <v>COMUNAGLIE DI VOLTRI</v>
      </c>
      <c r="C577" t="str">
        <f t="shared" si="33"/>
        <v>2</v>
      </c>
      <c r="D577">
        <v>17</v>
      </c>
      <c r="E577" t="str">
        <f>"4"</f>
        <v>4</v>
      </c>
      <c r="F577" t="str">
        <f t="shared" si="31"/>
        <v>0000</v>
      </c>
    </row>
    <row r="578" spans="1:6">
      <c r="A578" t="str">
        <f>"T475-490"</f>
        <v>T475-490</v>
      </c>
      <c r="B578" t="str">
        <f t="shared" si="32"/>
        <v>COMUNAGLIE DI VOLTRI</v>
      </c>
      <c r="C578" t="str">
        <f t="shared" si="33"/>
        <v>2</v>
      </c>
      <c r="D578">
        <v>17</v>
      </c>
      <c r="E578" t="str">
        <f>"5"</f>
        <v>5</v>
      </c>
      <c r="F578" t="str">
        <f t="shared" ref="F578:F641" si="34">"0000"</f>
        <v>0000</v>
      </c>
    </row>
    <row r="579" spans="1:6">
      <c r="A579" t="str">
        <f>"T475-491"</f>
        <v>T475-491</v>
      </c>
      <c r="B579" t="str">
        <f t="shared" si="32"/>
        <v>COMUNAGLIE DI VOLTRI</v>
      </c>
      <c r="C579" t="str">
        <f t="shared" si="33"/>
        <v>2</v>
      </c>
      <c r="D579">
        <v>17</v>
      </c>
      <c r="E579" t="str">
        <f>"6"</f>
        <v>6</v>
      </c>
      <c r="F579" t="str">
        <f t="shared" si="34"/>
        <v>0000</v>
      </c>
    </row>
    <row r="580" spans="1:6">
      <c r="A580" t="str">
        <f>"T475-492"</f>
        <v>T475-492</v>
      </c>
      <c r="B580" t="str">
        <f t="shared" si="32"/>
        <v>COMUNAGLIE DI VOLTRI</v>
      </c>
      <c r="C580" t="str">
        <f t="shared" si="33"/>
        <v>2</v>
      </c>
      <c r="D580">
        <v>17</v>
      </c>
      <c r="E580" t="str">
        <f>"7"</f>
        <v>7</v>
      </c>
      <c r="F580" t="str">
        <f t="shared" si="34"/>
        <v>0000</v>
      </c>
    </row>
    <row r="581" spans="1:6">
      <c r="A581" t="str">
        <f>"T475-493"</f>
        <v>T475-493</v>
      </c>
      <c r="B581" t="str">
        <f t="shared" si="32"/>
        <v>COMUNAGLIE DI VOLTRI</v>
      </c>
      <c r="C581" t="str">
        <f t="shared" si="33"/>
        <v>2</v>
      </c>
      <c r="D581">
        <v>17</v>
      </c>
      <c r="E581" t="str">
        <f>"8"</f>
        <v>8</v>
      </c>
      <c r="F581" t="str">
        <f t="shared" si="34"/>
        <v>0000</v>
      </c>
    </row>
    <row r="582" spans="1:6">
      <c r="A582" t="str">
        <f>"T475-494"</f>
        <v>T475-494</v>
      </c>
      <c r="B582" t="str">
        <f t="shared" si="32"/>
        <v>COMUNAGLIE DI VOLTRI</v>
      </c>
      <c r="C582" t="str">
        <f t="shared" si="33"/>
        <v>2</v>
      </c>
      <c r="D582">
        <v>17</v>
      </c>
      <c r="E582" t="str">
        <f>"9"</f>
        <v>9</v>
      </c>
      <c r="F582" t="str">
        <f t="shared" si="34"/>
        <v>0000</v>
      </c>
    </row>
    <row r="583" spans="1:6">
      <c r="A583" t="str">
        <f>"T475-495"</f>
        <v>T475-495</v>
      </c>
      <c r="B583" t="str">
        <f t="shared" si="32"/>
        <v>COMUNAGLIE DI VOLTRI</v>
      </c>
      <c r="C583" t="str">
        <f t="shared" si="33"/>
        <v>2</v>
      </c>
      <c r="D583">
        <v>18</v>
      </c>
      <c r="E583" t="str">
        <f>"1"</f>
        <v>1</v>
      </c>
      <c r="F583" t="str">
        <f t="shared" si="34"/>
        <v>0000</v>
      </c>
    </row>
    <row r="584" spans="1:6">
      <c r="A584" t="str">
        <f>"T475-496"</f>
        <v>T475-496</v>
      </c>
      <c r="B584" t="str">
        <f t="shared" si="32"/>
        <v>COMUNAGLIE DI VOLTRI</v>
      </c>
      <c r="C584" t="str">
        <f t="shared" si="33"/>
        <v>2</v>
      </c>
      <c r="D584">
        <v>18</v>
      </c>
      <c r="E584" t="str">
        <f>"2"</f>
        <v>2</v>
      </c>
      <c r="F584" t="str">
        <f t="shared" si="34"/>
        <v>0000</v>
      </c>
    </row>
    <row r="585" spans="1:6">
      <c r="A585" t="str">
        <f>"T475-497"</f>
        <v>T475-497</v>
      </c>
      <c r="B585" t="str">
        <f t="shared" si="32"/>
        <v>COMUNAGLIE DI VOLTRI</v>
      </c>
      <c r="C585" t="str">
        <f t="shared" si="33"/>
        <v>2</v>
      </c>
      <c r="D585">
        <v>18</v>
      </c>
      <c r="E585" t="str">
        <f>"3"</f>
        <v>3</v>
      </c>
      <c r="F585" t="str">
        <f t="shared" si="34"/>
        <v>0000</v>
      </c>
    </row>
    <row r="586" spans="1:6">
      <c r="A586" t="str">
        <f>"T475-498"</f>
        <v>T475-498</v>
      </c>
      <c r="B586" t="str">
        <f t="shared" si="32"/>
        <v>COMUNAGLIE DI VOLTRI</v>
      </c>
      <c r="C586" t="str">
        <f t="shared" si="33"/>
        <v>2</v>
      </c>
      <c r="D586">
        <v>18</v>
      </c>
      <c r="E586" t="str">
        <f>"4"</f>
        <v>4</v>
      </c>
      <c r="F586" t="str">
        <f t="shared" si="34"/>
        <v>0000</v>
      </c>
    </row>
    <row r="587" spans="1:6">
      <c r="A587" t="str">
        <f>"T475-499"</f>
        <v>T475-499</v>
      </c>
      <c r="B587" t="str">
        <f t="shared" si="32"/>
        <v>COMUNAGLIE DI VOLTRI</v>
      </c>
      <c r="C587" t="str">
        <f t="shared" si="33"/>
        <v>2</v>
      </c>
      <c r="D587">
        <v>18</v>
      </c>
      <c r="E587" t="str">
        <f>"5"</f>
        <v>5</v>
      </c>
      <c r="F587" t="str">
        <f t="shared" si="34"/>
        <v>0000</v>
      </c>
    </row>
    <row r="588" spans="1:6">
      <c r="A588" t="str">
        <f>"T475-500"</f>
        <v>T475-500</v>
      </c>
      <c r="B588" t="str">
        <f t="shared" si="32"/>
        <v>COMUNAGLIE DI VOLTRI</v>
      </c>
      <c r="C588" t="str">
        <f t="shared" si="33"/>
        <v>2</v>
      </c>
      <c r="D588">
        <v>18</v>
      </c>
      <c r="E588" t="str">
        <f>"6"</f>
        <v>6</v>
      </c>
      <c r="F588" t="str">
        <f t="shared" si="34"/>
        <v>0000</v>
      </c>
    </row>
    <row r="589" spans="1:6">
      <c r="A589" t="str">
        <f>"T475-501"</f>
        <v>T475-501</v>
      </c>
      <c r="B589" t="str">
        <f t="shared" si="32"/>
        <v>COMUNAGLIE DI VOLTRI</v>
      </c>
      <c r="C589" t="str">
        <f t="shared" si="33"/>
        <v>2</v>
      </c>
      <c r="D589">
        <v>18</v>
      </c>
      <c r="E589" t="str">
        <f>"7"</f>
        <v>7</v>
      </c>
      <c r="F589" t="str">
        <f t="shared" si="34"/>
        <v>0000</v>
      </c>
    </row>
    <row r="590" spans="1:6">
      <c r="A590" t="str">
        <f>"T475-502"</f>
        <v>T475-502</v>
      </c>
      <c r="B590" t="str">
        <f t="shared" si="32"/>
        <v>COMUNAGLIE DI VOLTRI</v>
      </c>
      <c r="C590" t="str">
        <f t="shared" si="33"/>
        <v>2</v>
      </c>
      <c r="D590">
        <v>18</v>
      </c>
      <c r="E590" t="str">
        <f>"8"</f>
        <v>8</v>
      </c>
      <c r="F590" t="str">
        <f t="shared" si="34"/>
        <v>0000</v>
      </c>
    </row>
    <row r="591" spans="1:6">
      <c r="A591" t="str">
        <f>"T475-504"</f>
        <v>T475-504</v>
      </c>
      <c r="B591" t="str">
        <f t="shared" si="32"/>
        <v>COMUNAGLIE DI VOLTRI</v>
      </c>
      <c r="C591" t="str">
        <f t="shared" si="33"/>
        <v>2</v>
      </c>
      <c r="D591">
        <v>18</v>
      </c>
      <c r="E591" t="str">
        <f>"9"</f>
        <v>9</v>
      </c>
      <c r="F591" t="str">
        <f t="shared" si="34"/>
        <v>0000</v>
      </c>
    </row>
    <row r="592" spans="1:6">
      <c r="A592" t="str">
        <f>"T475-505"</f>
        <v>T475-505</v>
      </c>
      <c r="B592" t="str">
        <f t="shared" si="32"/>
        <v>COMUNAGLIE DI VOLTRI</v>
      </c>
      <c r="C592" t="str">
        <f t="shared" si="33"/>
        <v>2</v>
      </c>
      <c r="D592">
        <v>18</v>
      </c>
      <c r="E592" t="str">
        <f>"10"</f>
        <v>10</v>
      </c>
      <c r="F592" t="str">
        <f t="shared" si="34"/>
        <v>0000</v>
      </c>
    </row>
    <row r="593" spans="1:6">
      <c r="A593" t="str">
        <f>"T475-506"</f>
        <v>T475-506</v>
      </c>
      <c r="B593" t="str">
        <f t="shared" si="32"/>
        <v>COMUNAGLIE DI VOLTRI</v>
      </c>
      <c r="C593" t="str">
        <f t="shared" si="33"/>
        <v>2</v>
      </c>
      <c r="D593">
        <v>18</v>
      </c>
      <c r="E593" t="str">
        <f>"113"</f>
        <v>113</v>
      </c>
      <c r="F593" t="str">
        <f t="shared" si="34"/>
        <v>0000</v>
      </c>
    </row>
    <row r="594" spans="1:6">
      <c r="A594" t="str">
        <f>"T475-507"</f>
        <v>T475-507</v>
      </c>
      <c r="B594" t="str">
        <f t="shared" si="32"/>
        <v>COMUNAGLIE DI VOLTRI</v>
      </c>
      <c r="C594" t="str">
        <f t="shared" si="33"/>
        <v>2</v>
      </c>
      <c r="D594">
        <v>18</v>
      </c>
      <c r="E594" t="str">
        <f>"114"</f>
        <v>114</v>
      </c>
      <c r="F594" t="str">
        <f t="shared" si="34"/>
        <v>0000</v>
      </c>
    </row>
    <row r="595" spans="1:6">
      <c r="A595" t="str">
        <f>"T475-508"</f>
        <v>T475-508</v>
      </c>
      <c r="B595" t="str">
        <f t="shared" si="32"/>
        <v>COMUNAGLIE DI VOLTRI</v>
      </c>
      <c r="C595" t="str">
        <f t="shared" si="33"/>
        <v>2</v>
      </c>
      <c r="D595">
        <v>18</v>
      </c>
      <c r="E595" t="str">
        <f>"115"</f>
        <v>115</v>
      </c>
      <c r="F595" t="str">
        <f t="shared" si="34"/>
        <v>0000</v>
      </c>
    </row>
    <row r="596" spans="1:6">
      <c r="A596" t="str">
        <f>"T475-509"</f>
        <v>T475-509</v>
      </c>
      <c r="B596" t="str">
        <f t="shared" si="32"/>
        <v>COMUNAGLIE DI VOLTRI</v>
      </c>
      <c r="C596" t="str">
        <f t="shared" si="33"/>
        <v>2</v>
      </c>
      <c r="D596">
        <v>18</v>
      </c>
      <c r="E596" t="str">
        <f>"116"</f>
        <v>116</v>
      </c>
      <c r="F596" t="str">
        <f t="shared" si="34"/>
        <v>0000</v>
      </c>
    </row>
    <row r="597" spans="1:6">
      <c r="A597" t="str">
        <f>"T475-510"</f>
        <v>T475-510</v>
      </c>
      <c r="B597" t="str">
        <f t="shared" si="32"/>
        <v>COMUNAGLIE DI VOLTRI</v>
      </c>
      <c r="C597" t="str">
        <f t="shared" si="33"/>
        <v>2</v>
      </c>
      <c r="D597">
        <v>18</v>
      </c>
      <c r="E597" t="str">
        <f>"117"</f>
        <v>117</v>
      </c>
      <c r="F597" t="str">
        <f t="shared" si="34"/>
        <v>0000</v>
      </c>
    </row>
    <row r="598" spans="1:6">
      <c r="A598" t="str">
        <f>"T475-511"</f>
        <v>T475-511</v>
      </c>
      <c r="B598" t="str">
        <f t="shared" si="32"/>
        <v>COMUNAGLIE DI VOLTRI</v>
      </c>
      <c r="C598" t="str">
        <f t="shared" si="33"/>
        <v>2</v>
      </c>
      <c r="D598">
        <v>18</v>
      </c>
      <c r="E598" t="str">
        <f>"118"</f>
        <v>118</v>
      </c>
      <c r="F598" t="str">
        <f t="shared" si="34"/>
        <v>0000</v>
      </c>
    </row>
    <row r="599" spans="1:6">
      <c r="A599" t="str">
        <f>"T475-512"</f>
        <v>T475-512</v>
      </c>
      <c r="B599" t="str">
        <f t="shared" si="32"/>
        <v>COMUNAGLIE DI VOLTRI</v>
      </c>
      <c r="C599" t="str">
        <f t="shared" si="33"/>
        <v>2</v>
      </c>
      <c r="D599">
        <v>18</v>
      </c>
      <c r="E599" t="str">
        <f>"119"</f>
        <v>119</v>
      </c>
      <c r="F599" t="str">
        <f t="shared" si="34"/>
        <v>0000</v>
      </c>
    </row>
    <row r="600" spans="1:6">
      <c r="A600" t="str">
        <f>"T475-513"</f>
        <v>T475-513</v>
      </c>
      <c r="B600" t="str">
        <f t="shared" si="32"/>
        <v>COMUNAGLIE DI VOLTRI</v>
      </c>
      <c r="C600" t="str">
        <f t="shared" si="33"/>
        <v>2</v>
      </c>
      <c r="D600">
        <v>18</v>
      </c>
      <c r="E600" t="str">
        <f>"120"</f>
        <v>120</v>
      </c>
      <c r="F600" t="str">
        <f t="shared" si="34"/>
        <v>0000</v>
      </c>
    </row>
    <row r="601" spans="1:6">
      <c r="A601" t="str">
        <f>"T475-514"</f>
        <v>T475-514</v>
      </c>
      <c r="B601" t="str">
        <f t="shared" ref="B601:B647" si="35">"COMUNAGLIE DI VOLTRI"</f>
        <v>COMUNAGLIE DI VOLTRI</v>
      </c>
      <c r="C601" t="str">
        <f t="shared" si="33"/>
        <v>2</v>
      </c>
      <c r="D601">
        <v>18</v>
      </c>
      <c r="E601" t="str">
        <f>"121"</f>
        <v>121</v>
      </c>
      <c r="F601" t="str">
        <f t="shared" si="34"/>
        <v>0000</v>
      </c>
    </row>
    <row r="602" spans="1:6">
      <c r="A602" t="str">
        <f>"T475-515"</f>
        <v>T475-515</v>
      </c>
      <c r="B602" t="str">
        <f t="shared" si="35"/>
        <v>COMUNAGLIE DI VOLTRI</v>
      </c>
      <c r="C602" t="str">
        <f t="shared" si="33"/>
        <v>2</v>
      </c>
      <c r="D602">
        <v>18</v>
      </c>
      <c r="E602" t="str">
        <f>"122"</f>
        <v>122</v>
      </c>
      <c r="F602" t="str">
        <f t="shared" si="34"/>
        <v>0000</v>
      </c>
    </row>
    <row r="603" spans="1:6">
      <c r="A603" t="str">
        <f>"T475-516"</f>
        <v>T475-516</v>
      </c>
      <c r="B603" t="str">
        <f t="shared" si="35"/>
        <v>COMUNAGLIE DI VOLTRI</v>
      </c>
      <c r="C603" t="str">
        <f t="shared" si="33"/>
        <v>2</v>
      </c>
      <c r="D603">
        <v>18</v>
      </c>
      <c r="E603" t="str">
        <f>"123"</f>
        <v>123</v>
      </c>
      <c r="F603" t="str">
        <f t="shared" si="34"/>
        <v>0000</v>
      </c>
    </row>
    <row r="604" spans="1:6">
      <c r="A604" t="str">
        <f>"T475-517"</f>
        <v>T475-517</v>
      </c>
      <c r="B604" t="str">
        <f t="shared" si="35"/>
        <v>COMUNAGLIE DI VOLTRI</v>
      </c>
      <c r="C604" t="str">
        <f t="shared" si="33"/>
        <v>2</v>
      </c>
      <c r="D604">
        <v>18</v>
      </c>
      <c r="E604" t="str">
        <f>"132"</f>
        <v>132</v>
      </c>
      <c r="F604" t="str">
        <f t="shared" si="34"/>
        <v>0000</v>
      </c>
    </row>
    <row r="605" spans="1:6">
      <c r="A605" t="str">
        <f>"T475-518"</f>
        <v>T475-518</v>
      </c>
      <c r="B605" t="str">
        <f t="shared" si="35"/>
        <v>COMUNAGLIE DI VOLTRI</v>
      </c>
      <c r="C605" t="str">
        <f t="shared" si="33"/>
        <v>2</v>
      </c>
      <c r="D605">
        <v>18</v>
      </c>
      <c r="E605" t="str">
        <f>"133"</f>
        <v>133</v>
      </c>
      <c r="F605" t="str">
        <f t="shared" si="34"/>
        <v>0000</v>
      </c>
    </row>
    <row r="606" spans="1:6">
      <c r="A606" t="str">
        <f>"T475-519"</f>
        <v>T475-519</v>
      </c>
      <c r="B606" t="str">
        <f t="shared" si="35"/>
        <v>COMUNAGLIE DI VOLTRI</v>
      </c>
      <c r="C606" t="str">
        <f t="shared" si="33"/>
        <v>2</v>
      </c>
      <c r="D606">
        <v>18</v>
      </c>
      <c r="E606" t="str">
        <f>"134"</f>
        <v>134</v>
      </c>
      <c r="F606" t="str">
        <f t="shared" si="34"/>
        <v>0000</v>
      </c>
    </row>
    <row r="607" spans="1:6">
      <c r="A607" t="str">
        <f>"T475-520"</f>
        <v>T475-520</v>
      </c>
      <c r="B607" t="str">
        <f t="shared" si="35"/>
        <v>COMUNAGLIE DI VOLTRI</v>
      </c>
      <c r="C607" t="str">
        <f t="shared" si="33"/>
        <v>2</v>
      </c>
      <c r="D607">
        <v>18</v>
      </c>
      <c r="E607" t="str">
        <f>"135"</f>
        <v>135</v>
      </c>
      <c r="F607" t="str">
        <f t="shared" si="34"/>
        <v>0000</v>
      </c>
    </row>
    <row r="608" spans="1:6">
      <c r="A608" t="str">
        <f>"T475-521"</f>
        <v>T475-521</v>
      </c>
      <c r="B608" t="str">
        <f t="shared" si="35"/>
        <v>COMUNAGLIE DI VOLTRI</v>
      </c>
      <c r="C608" t="str">
        <f t="shared" si="33"/>
        <v>2</v>
      </c>
      <c r="D608">
        <v>18</v>
      </c>
      <c r="E608" t="str">
        <f>"136"</f>
        <v>136</v>
      </c>
      <c r="F608" t="str">
        <f t="shared" si="34"/>
        <v>0000</v>
      </c>
    </row>
    <row r="609" spans="1:6">
      <c r="A609" t="str">
        <f>"T475-522"</f>
        <v>T475-522</v>
      </c>
      <c r="B609" t="str">
        <f t="shared" si="35"/>
        <v>COMUNAGLIE DI VOLTRI</v>
      </c>
      <c r="C609" t="str">
        <f t="shared" si="33"/>
        <v>2</v>
      </c>
      <c r="D609">
        <v>18</v>
      </c>
      <c r="E609" t="str">
        <f>"143"</f>
        <v>143</v>
      </c>
      <c r="F609" t="str">
        <f t="shared" si="34"/>
        <v>0000</v>
      </c>
    </row>
    <row r="610" spans="1:6">
      <c r="A610" t="str">
        <f>"T475-523"</f>
        <v>T475-523</v>
      </c>
      <c r="B610" t="str">
        <f t="shared" si="35"/>
        <v>COMUNAGLIE DI VOLTRI</v>
      </c>
      <c r="C610" t="str">
        <f t="shared" si="33"/>
        <v>2</v>
      </c>
      <c r="D610">
        <v>18</v>
      </c>
      <c r="E610" t="str">
        <f>"144"</f>
        <v>144</v>
      </c>
      <c r="F610" t="str">
        <f t="shared" si="34"/>
        <v>0000</v>
      </c>
    </row>
    <row r="611" spans="1:6">
      <c r="A611" t="str">
        <f>"T475-524"</f>
        <v>T475-524</v>
      </c>
      <c r="B611" t="str">
        <f t="shared" si="35"/>
        <v>COMUNAGLIE DI VOLTRI</v>
      </c>
      <c r="C611" t="str">
        <f t="shared" si="33"/>
        <v>2</v>
      </c>
      <c r="D611">
        <v>18</v>
      </c>
      <c r="E611" t="str">
        <f>"145"</f>
        <v>145</v>
      </c>
      <c r="F611" t="str">
        <f t="shared" si="34"/>
        <v>0000</v>
      </c>
    </row>
    <row r="612" spans="1:6">
      <c r="A612" t="str">
        <f>"T475-525"</f>
        <v>T475-525</v>
      </c>
      <c r="B612" t="str">
        <f t="shared" si="35"/>
        <v>COMUNAGLIE DI VOLTRI</v>
      </c>
      <c r="C612" t="str">
        <f t="shared" si="33"/>
        <v>2</v>
      </c>
      <c r="D612">
        <v>18</v>
      </c>
      <c r="E612" t="str">
        <f>"147"</f>
        <v>147</v>
      </c>
      <c r="F612" t="str">
        <f t="shared" si="34"/>
        <v>0000</v>
      </c>
    </row>
    <row r="613" spans="1:6">
      <c r="A613" t="str">
        <f>"T475-526"</f>
        <v>T475-526</v>
      </c>
      <c r="B613" t="str">
        <f t="shared" si="35"/>
        <v>COMUNAGLIE DI VOLTRI</v>
      </c>
      <c r="C613" t="str">
        <f t="shared" si="33"/>
        <v>2</v>
      </c>
      <c r="D613">
        <v>19</v>
      </c>
      <c r="E613" t="str">
        <f>"49"</f>
        <v>49</v>
      </c>
      <c r="F613" t="str">
        <f t="shared" si="34"/>
        <v>0000</v>
      </c>
    </row>
    <row r="614" spans="1:6">
      <c r="A614" t="str">
        <f>"T475-527"</f>
        <v>T475-527</v>
      </c>
      <c r="B614" t="str">
        <f t="shared" si="35"/>
        <v>COMUNAGLIE DI VOLTRI</v>
      </c>
      <c r="C614" t="str">
        <f t="shared" si="33"/>
        <v>2</v>
      </c>
      <c r="D614">
        <v>19</v>
      </c>
      <c r="E614" t="str">
        <f>"50"</f>
        <v>50</v>
      </c>
      <c r="F614" t="str">
        <f t="shared" si="34"/>
        <v>0000</v>
      </c>
    </row>
    <row r="615" spans="1:6">
      <c r="A615" t="str">
        <f>"T475-528"</f>
        <v>T475-528</v>
      </c>
      <c r="B615" t="str">
        <f t="shared" si="35"/>
        <v>COMUNAGLIE DI VOLTRI</v>
      </c>
      <c r="C615" t="str">
        <f t="shared" si="33"/>
        <v>2</v>
      </c>
      <c r="D615">
        <v>25</v>
      </c>
      <c r="E615" t="str">
        <f>"1"</f>
        <v>1</v>
      </c>
      <c r="F615" t="str">
        <f t="shared" si="34"/>
        <v>0000</v>
      </c>
    </row>
    <row r="616" spans="1:6">
      <c r="A616" t="str">
        <f>"T475-529"</f>
        <v>T475-529</v>
      </c>
      <c r="B616" t="str">
        <f t="shared" si="35"/>
        <v>COMUNAGLIE DI VOLTRI</v>
      </c>
      <c r="C616" t="str">
        <f t="shared" si="33"/>
        <v>2</v>
      </c>
      <c r="D616">
        <v>25</v>
      </c>
      <c r="E616" t="str">
        <f>"2"</f>
        <v>2</v>
      </c>
      <c r="F616" t="str">
        <f t="shared" si="34"/>
        <v>0000</v>
      </c>
    </row>
    <row r="617" spans="1:6">
      <c r="A617" t="str">
        <f>"T475-530"</f>
        <v>T475-530</v>
      </c>
      <c r="B617" t="str">
        <f t="shared" si="35"/>
        <v>COMUNAGLIE DI VOLTRI</v>
      </c>
      <c r="C617" t="str">
        <f t="shared" si="33"/>
        <v>2</v>
      </c>
      <c r="D617">
        <v>25</v>
      </c>
      <c r="E617" t="str">
        <f>"3"</f>
        <v>3</v>
      </c>
      <c r="F617" t="str">
        <f t="shared" si="34"/>
        <v>0000</v>
      </c>
    </row>
    <row r="618" spans="1:6">
      <c r="A618" t="str">
        <f>"T475-531"</f>
        <v>T475-531</v>
      </c>
      <c r="B618" t="str">
        <f t="shared" si="35"/>
        <v>COMUNAGLIE DI VOLTRI</v>
      </c>
      <c r="C618" t="str">
        <f t="shared" si="33"/>
        <v>2</v>
      </c>
      <c r="D618">
        <v>25</v>
      </c>
      <c r="E618" t="str">
        <f>"7"</f>
        <v>7</v>
      </c>
      <c r="F618" t="str">
        <f t="shared" si="34"/>
        <v>0000</v>
      </c>
    </row>
    <row r="619" spans="1:6">
      <c r="A619" t="str">
        <f>"T475-532"</f>
        <v>T475-532</v>
      </c>
      <c r="B619" t="str">
        <f t="shared" si="35"/>
        <v>COMUNAGLIE DI VOLTRI</v>
      </c>
      <c r="C619" t="str">
        <f t="shared" si="33"/>
        <v>2</v>
      </c>
      <c r="D619">
        <v>25</v>
      </c>
      <c r="E619" t="str">
        <f>"8"</f>
        <v>8</v>
      </c>
      <c r="F619" t="str">
        <f t="shared" si="34"/>
        <v>0000</v>
      </c>
    </row>
    <row r="620" spans="1:6">
      <c r="A620" t="str">
        <f>"T475-533"</f>
        <v>T475-533</v>
      </c>
      <c r="B620" t="str">
        <f t="shared" si="35"/>
        <v>COMUNAGLIE DI VOLTRI</v>
      </c>
      <c r="C620" t="str">
        <f t="shared" si="33"/>
        <v>2</v>
      </c>
      <c r="D620">
        <v>25</v>
      </c>
      <c r="E620" t="str">
        <f>"11"</f>
        <v>11</v>
      </c>
      <c r="F620" t="str">
        <f t="shared" si="34"/>
        <v>0000</v>
      </c>
    </row>
    <row r="621" spans="1:6">
      <c r="A621" t="str">
        <f>"T475-534"</f>
        <v>T475-534</v>
      </c>
      <c r="B621" t="str">
        <f t="shared" si="35"/>
        <v>COMUNAGLIE DI VOLTRI</v>
      </c>
      <c r="C621" t="str">
        <f t="shared" si="33"/>
        <v>2</v>
      </c>
      <c r="D621">
        <v>25</v>
      </c>
      <c r="E621" t="str">
        <f>"12"</f>
        <v>12</v>
      </c>
      <c r="F621" t="str">
        <f t="shared" si="34"/>
        <v>0000</v>
      </c>
    </row>
    <row r="622" spans="1:6">
      <c r="A622" t="str">
        <f>"T475-535"</f>
        <v>T475-535</v>
      </c>
      <c r="B622" t="str">
        <f t="shared" si="35"/>
        <v>COMUNAGLIE DI VOLTRI</v>
      </c>
      <c r="C622" t="str">
        <f t="shared" si="33"/>
        <v>2</v>
      </c>
      <c r="D622">
        <v>25</v>
      </c>
      <c r="E622" t="str">
        <f>"13"</f>
        <v>13</v>
      </c>
      <c r="F622" t="str">
        <f t="shared" si="34"/>
        <v>0000</v>
      </c>
    </row>
    <row r="623" spans="1:6">
      <c r="A623" t="str">
        <f>"T475-536"</f>
        <v>T475-536</v>
      </c>
      <c r="B623" t="str">
        <f t="shared" si="35"/>
        <v>COMUNAGLIE DI VOLTRI</v>
      </c>
      <c r="C623" t="str">
        <f t="shared" si="33"/>
        <v>2</v>
      </c>
      <c r="D623">
        <v>25</v>
      </c>
      <c r="E623" t="str">
        <f>"24"</f>
        <v>24</v>
      </c>
      <c r="F623" t="str">
        <f t="shared" si="34"/>
        <v>0000</v>
      </c>
    </row>
    <row r="624" spans="1:6">
      <c r="A624" t="str">
        <f>"T475-537"</f>
        <v>T475-537</v>
      </c>
      <c r="B624" t="str">
        <f t="shared" si="35"/>
        <v>COMUNAGLIE DI VOLTRI</v>
      </c>
      <c r="C624" t="str">
        <f t="shared" si="33"/>
        <v>2</v>
      </c>
      <c r="D624">
        <v>25</v>
      </c>
      <c r="E624" t="str">
        <f>"25"</f>
        <v>25</v>
      </c>
      <c r="F624" t="str">
        <f t="shared" si="34"/>
        <v>0000</v>
      </c>
    </row>
    <row r="625" spans="1:6">
      <c r="A625" t="str">
        <f>"T475-538"</f>
        <v>T475-538</v>
      </c>
      <c r="B625" t="str">
        <f t="shared" si="35"/>
        <v>COMUNAGLIE DI VOLTRI</v>
      </c>
      <c r="C625" t="str">
        <f t="shared" si="33"/>
        <v>2</v>
      </c>
      <c r="D625">
        <v>25</v>
      </c>
      <c r="E625" t="str">
        <f>"26"</f>
        <v>26</v>
      </c>
      <c r="F625" t="str">
        <f t="shared" si="34"/>
        <v>0000</v>
      </c>
    </row>
    <row r="626" spans="1:6">
      <c r="A626" t="str">
        <f>"T475-539"</f>
        <v>T475-539</v>
      </c>
      <c r="B626" t="str">
        <f t="shared" si="35"/>
        <v>COMUNAGLIE DI VOLTRI</v>
      </c>
      <c r="C626" t="str">
        <f t="shared" si="33"/>
        <v>2</v>
      </c>
      <c r="D626">
        <v>25</v>
      </c>
      <c r="E626" t="str">
        <f>"36"</f>
        <v>36</v>
      </c>
      <c r="F626" t="str">
        <f t="shared" si="34"/>
        <v>0000</v>
      </c>
    </row>
    <row r="627" spans="1:6">
      <c r="A627" t="str">
        <f>"T475-540"</f>
        <v>T475-540</v>
      </c>
      <c r="B627" t="str">
        <f t="shared" si="35"/>
        <v>COMUNAGLIE DI VOLTRI</v>
      </c>
      <c r="C627" t="str">
        <f t="shared" si="33"/>
        <v>2</v>
      </c>
      <c r="D627">
        <v>25</v>
      </c>
      <c r="E627" t="str">
        <f>"39"</f>
        <v>39</v>
      </c>
      <c r="F627" t="str">
        <f t="shared" si="34"/>
        <v>0000</v>
      </c>
    </row>
    <row r="628" spans="1:6">
      <c r="A628" t="str">
        <f>"T475-541"</f>
        <v>T475-541</v>
      </c>
      <c r="B628" t="str">
        <f t="shared" si="35"/>
        <v>COMUNAGLIE DI VOLTRI</v>
      </c>
      <c r="C628" t="str">
        <f t="shared" si="33"/>
        <v>2</v>
      </c>
      <c r="D628">
        <v>25</v>
      </c>
      <c r="E628" t="str">
        <f>"40"</f>
        <v>40</v>
      </c>
      <c r="F628" t="str">
        <f t="shared" si="34"/>
        <v>0000</v>
      </c>
    </row>
    <row r="629" spans="1:6">
      <c r="A629" t="str">
        <f>"T475-542"</f>
        <v>T475-542</v>
      </c>
      <c r="B629" t="str">
        <f t="shared" si="35"/>
        <v>COMUNAGLIE DI VOLTRI</v>
      </c>
      <c r="C629" t="str">
        <f t="shared" si="33"/>
        <v>2</v>
      </c>
      <c r="D629">
        <v>25</v>
      </c>
      <c r="E629" t="str">
        <f>"41"</f>
        <v>41</v>
      </c>
      <c r="F629" t="str">
        <f t="shared" si="34"/>
        <v>0000</v>
      </c>
    </row>
    <row r="630" spans="1:6">
      <c r="A630" t="str">
        <f>"T475-543"</f>
        <v>T475-543</v>
      </c>
      <c r="B630" t="str">
        <f t="shared" si="35"/>
        <v>COMUNAGLIE DI VOLTRI</v>
      </c>
      <c r="C630" t="str">
        <f t="shared" si="33"/>
        <v>2</v>
      </c>
      <c r="D630">
        <v>25</v>
      </c>
      <c r="E630" t="str">
        <f>"42"</f>
        <v>42</v>
      </c>
      <c r="F630" t="str">
        <f t="shared" si="34"/>
        <v>0000</v>
      </c>
    </row>
    <row r="631" spans="1:6">
      <c r="A631" t="str">
        <f>"T475-544"</f>
        <v>T475-544</v>
      </c>
      <c r="B631" t="str">
        <f t="shared" si="35"/>
        <v>COMUNAGLIE DI VOLTRI</v>
      </c>
      <c r="C631" t="str">
        <f t="shared" si="33"/>
        <v>2</v>
      </c>
      <c r="D631">
        <v>25</v>
      </c>
      <c r="E631" t="str">
        <f>"43"</f>
        <v>43</v>
      </c>
      <c r="F631" t="str">
        <f t="shared" si="34"/>
        <v>0000</v>
      </c>
    </row>
    <row r="632" spans="1:6">
      <c r="A632" t="str">
        <f>"T475-545"</f>
        <v>T475-545</v>
      </c>
      <c r="B632" t="str">
        <f t="shared" si="35"/>
        <v>COMUNAGLIE DI VOLTRI</v>
      </c>
      <c r="C632" t="str">
        <f t="shared" si="33"/>
        <v>2</v>
      </c>
      <c r="D632">
        <v>25</v>
      </c>
      <c r="E632" t="str">
        <f>"44"</f>
        <v>44</v>
      </c>
      <c r="F632" t="str">
        <f t="shared" si="34"/>
        <v>0000</v>
      </c>
    </row>
    <row r="633" spans="1:6">
      <c r="A633" t="str">
        <f>"T475-546"</f>
        <v>T475-546</v>
      </c>
      <c r="B633" t="str">
        <f t="shared" si="35"/>
        <v>COMUNAGLIE DI VOLTRI</v>
      </c>
      <c r="C633" t="str">
        <f t="shared" si="33"/>
        <v>2</v>
      </c>
      <c r="D633">
        <v>25</v>
      </c>
      <c r="E633" t="str">
        <f>"45"</f>
        <v>45</v>
      </c>
      <c r="F633" t="str">
        <f t="shared" si="34"/>
        <v>0000</v>
      </c>
    </row>
    <row r="634" spans="1:6">
      <c r="A634" t="str">
        <f>"T475-547"</f>
        <v>T475-547</v>
      </c>
      <c r="B634" t="str">
        <f t="shared" si="35"/>
        <v>COMUNAGLIE DI VOLTRI</v>
      </c>
      <c r="C634" t="str">
        <f t="shared" si="33"/>
        <v>2</v>
      </c>
      <c r="D634">
        <v>25</v>
      </c>
      <c r="E634" t="str">
        <f>"46"</f>
        <v>46</v>
      </c>
      <c r="F634" t="str">
        <f t="shared" si="34"/>
        <v>0000</v>
      </c>
    </row>
    <row r="635" spans="1:6">
      <c r="A635" t="str">
        <f>"T475-548"</f>
        <v>T475-548</v>
      </c>
      <c r="B635" t="str">
        <f t="shared" si="35"/>
        <v>COMUNAGLIE DI VOLTRI</v>
      </c>
      <c r="C635" t="str">
        <f t="shared" si="33"/>
        <v>2</v>
      </c>
      <c r="D635">
        <v>25</v>
      </c>
      <c r="E635" t="str">
        <f>"61"</f>
        <v>61</v>
      </c>
      <c r="F635" t="str">
        <f t="shared" si="34"/>
        <v>0000</v>
      </c>
    </row>
    <row r="636" spans="1:6">
      <c r="A636" t="str">
        <f>"T475-549"</f>
        <v>T475-549</v>
      </c>
      <c r="B636" t="str">
        <f t="shared" si="35"/>
        <v>COMUNAGLIE DI VOLTRI</v>
      </c>
      <c r="C636" t="str">
        <f t="shared" si="33"/>
        <v>2</v>
      </c>
      <c r="D636">
        <v>25</v>
      </c>
      <c r="E636" t="str">
        <f>"62"</f>
        <v>62</v>
      </c>
      <c r="F636" t="str">
        <f t="shared" si="34"/>
        <v>0000</v>
      </c>
    </row>
    <row r="637" spans="1:6">
      <c r="A637" t="str">
        <f>"T475-550"</f>
        <v>T475-550</v>
      </c>
      <c r="B637" t="str">
        <f t="shared" si="35"/>
        <v>COMUNAGLIE DI VOLTRI</v>
      </c>
      <c r="C637" t="str">
        <f t="shared" si="33"/>
        <v>2</v>
      </c>
      <c r="D637">
        <v>26</v>
      </c>
      <c r="E637" t="str">
        <f>"1"</f>
        <v>1</v>
      </c>
      <c r="F637" t="str">
        <f t="shared" si="34"/>
        <v>0000</v>
      </c>
    </row>
    <row r="638" spans="1:6">
      <c r="A638" t="str">
        <f>"T475-551"</f>
        <v>T475-551</v>
      </c>
      <c r="B638" t="str">
        <f t="shared" si="35"/>
        <v>COMUNAGLIE DI VOLTRI</v>
      </c>
      <c r="C638" t="str">
        <f t="shared" si="33"/>
        <v>2</v>
      </c>
      <c r="D638">
        <v>26</v>
      </c>
      <c r="E638" t="str">
        <f>"2"</f>
        <v>2</v>
      </c>
      <c r="F638" t="str">
        <f t="shared" si="34"/>
        <v>0000</v>
      </c>
    </row>
    <row r="639" spans="1:6">
      <c r="A639" t="str">
        <f>"T475-552"</f>
        <v>T475-552</v>
      </c>
      <c r="B639" t="str">
        <f t="shared" si="35"/>
        <v>COMUNAGLIE DI VOLTRI</v>
      </c>
      <c r="C639" t="str">
        <f t="shared" ref="C639:C647" si="36">"2"</f>
        <v>2</v>
      </c>
      <c r="D639">
        <v>26</v>
      </c>
      <c r="E639" t="str">
        <f>"3"</f>
        <v>3</v>
      </c>
      <c r="F639" t="str">
        <f t="shared" si="34"/>
        <v>0000</v>
      </c>
    </row>
    <row r="640" spans="1:6">
      <c r="A640" t="str">
        <f>"T475-553"</f>
        <v>T475-553</v>
      </c>
      <c r="B640" t="str">
        <f t="shared" si="35"/>
        <v>COMUNAGLIE DI VOLTRI</v>
      </c>
      <c r="C640" t="str">
        <f t="shared" si="36"/>
        <v>2</v>
      </c>
      <c r="D640">
        <v>26</v>
      </c>
      <c r="E640" t="str">
        <f>"4"</f>
        <v>4</v>
      </c>
      <c r="F640" t="str">
        <f t="shared" si="34"/>
        <v>0000</v>
      </c>
    </row>
    <row r="641" spans="1:6">
      <c r="A641" t="str">
        <f>"T475-554"</f>
        <v>T475-554</v>
      </c>
      <c r="B641" t="str">
        <f t="shared" si="35"/>
        <v>COMUNAGLIE DI VOLTRI</v>
      </c>
      <c r="C641" t="str">
        <f t="shared" si="36"/>
        <v>2</v>
      </c>
      <c r="D641">
        <v>26</v>
      </c>
      <c r="E641" t="str">
        <f>"5"</f>
        <v>5</v>
      </c>
      <c r="F641" t="str">
        <f t="shared" si="34"/>
        <v>0000</v>
      </c>
    </row>
    <row r="642" spans="1:6">
      <c r="A642" t="str">
        <f>"T475-555"</f>
        <v>T475-555</v>
      </c>
      <c r="B642" t="str">
        <f t="shared" si="35"/>
        <v>COMUNAGLIE DI VOLTRI</v>
      </c>
      <c r="C642" t="str">
        <f t="shared" si="36"/>
        <v>2</v>
      </c>
      <c r="D642">
        <v>26</v>
      </c>
      <c r="E642" t="str">
        <f>"6"</f>
        <v>6</v>
      </c>
      <c r="F642" t="str">
        <f t="shared" ref="F642:F705" si="37">"0000"</f>
        <v>0000</v>
      </c>
    </row>
    <row r="643" spans="1:6">
      <c r="A643" t="str">
        <f>"T475-556"</f>
        <v>T475-556</v>
      </c>
      <c r="B643" t="str">
        <f t="shared" si="35"/>
        <v>COMUNAGLIE DI VOLTRI</v>
      </c>
      <c r="C643" t="str">
        <f t="shared" si="36"/>
        <v>2</v>
      </c>
      <c r="D643">
        <v>26</v>
      </c>
      <c r="E643" t="str">
        <f>"8"</f>
        <v>8</v>
      </c>
      <c r="F643" t="str">
        <f t="shared" si="37"/>
        <v>0000</v>
      </c>
    </row>
    <row r="644" spans="1:6">
      <c r="A644" t="str">
        <f>"T475-557"</f>
        <v>T475-557</v>
      </c>
      <c r="B644" t="str">
        <f t="shared" si="35"/>
        <v>COMUNAGLIE DI VOLTRI</v>
      </c>
      <c r="C644" t="str">
        <f t="shared" si="36"/>
        <v>2</v>
      </c>
      <c r="D644">
        <v>26</v>
      </c>
      <c r="E644" t="str">
        <f>"9"</f>
        <v>9</v>
      </c>
      <c r="F644" t="str">
        <f t="shared" si="37"/>
        <v>0000</v>
      </c>
    </row>
    <row r="645" spans="1:6">
      <c r="A645" t="str">
        <f>"T475-558"</f>
        <v>T475-558</v>
      </c>
      <c r="B645" t="str">
        <f t="shared" si="35"/>
        <v>COMUNAGLIE DI VOLTRI</v>
      </c>
      <c r="C645" t="str">
        <f t="shared" si="36"/>
        <v>2</v>
      </c>
      <c r="D645">
        <v>26</v>
      </c>
      <c r="E645" t="str">
        <f>"39"</f>
        <v>39</v>
      </c>
      <c r="F645" t="str">
        <f t="shared" si="37"/>
        <v>0000</v>
      </c>
    </row>
    <row r="646" spans="1:6">
      <c r="A646" t="str">
        <f>"T475-559"</f>
        <v>T475-559</v>
      </c>
      <c r="B646" t="str">
        <f t="shared" si="35"/>
        <v>COMUNAGLIE DI VOLTRI</v>
      </c>
      <c r="C646" t="str">
        <f t="shared" si="36"/>
        <v>2</v>
      </c>
      <c r="D646">
        <v>27</v>
      </c>
      <c r="E646" t="str">
        <f>"86"</f>
        <v>86</v>
      </c>
      <c r="F646" t="str">
        <f t="shared" si="37"/>
        <v>0000</v>
      </c>
    </row>
    <row r="647" spans="1:6">
      <c r="A647" t="str">
        <f>"T475-560"</f>
        <v>T475-560</v>
      </c>
      <c r="B647" t="str">
        <f t="shared" si="35"/>
        <v>COMUNAGLIE DI VOLTRI</v>
      </c>
      <c r="C647" t="str">
        <f t="shared" si="36"/>
        <v>2</v>
      </c>
      <c r="D647">
        <v>27</v>
      </c>
      <c r="E647" t="str">
        <f>"87"</f>
        <v>87</v>
      </c>
      <c r="F647" t="str">
        <f t="shared" si="37"/>
        <v>0000</v>
      </c>
    </row>
    <row r="648" spans="1:6">
      <c r="A648" t="str">
        <f>"T477-1"</f>
        <v>T477-1</v>
      </c>
      <c r="B648" t="str">
        <f>"VIA PRA VICINO AL 20-"</f>
        <v>VIA PRA VICINO AL 20-</v>
      </c>
      <c r="C648" t="str">
        <f t="shared" ref="C648:C653" si="38">"3"</f>
        <v>3</v>
      </c>
      <c r="D648">
        <v>14</v>
      </c>
      <c r="E648" t="str">
        <f>"227"</f>
        <v>227</v>
      </c>
      <c r="F648" t="str">
        <f t="shared" si="37"/>
        <v>0000</v>
      </c>
    </row>
    <row r="649" spans="1:6">
      <c r="A649" t="str">
        <f>"T477-2"</f>
        <v>T477-2</v>
      </c>
      <c r="B649" t="str">
        <f>"VIA PRA VICINO AL 20-"</f>
        <v>VIA PRA VICINO AL 20-</v>
      </c>
      <c r="C649" t="str">
        <f t="shared" si="38"/>
        <v>3</v>
      </c>
      <c r="D649">
        <v>14</v>
      </c>
      <c r="E649" t="str">
        <f>"229"</f>
        <v>229</v>
      </c>
      <c r="F649" t="str">
        <f t="shared" si="37"/>
        <v>0000</v>
      </c>
    </row>
    <row r="650" spans="1:6">
      <c r="A650" t="str">
        <f>"T479-1"</f>
        <v>T479-1</v>
      </c>
      <c r="B650" t="str">
        <f>"VIA CRAVASCO VICINO AL 7-"</f>
        <v>VIA CRAVASCO VICINO AL 7-</v>
      </c>
      <c r="C650" t="str">
        <f t="shared" si="38"/>
        <v>3</v>
      </c>
      <c r="D650">
        <v>10</v>
      </c>
      <c r="E650" t="str">
        <f>"539"</f>
        <v>539</v>
      </c>
      <c r="F650" t="str">
        <f t="shared" si="37"/>
        <v>0000</v>
      </c>
    </row>
    <row r="651" spans="1:6">
      <c r="A651" t="str">
        <f>"T479-2"</f>
        <v>T479-2</v>
      </c>
      <c r="B651" t="str">
        <f>"VIA CRAVASCO VICINO AL 7-"</f>
        <v>VIA CRAVASCO VICINO AL 7-</v>
      </c>
      <c r="C651" t="str">
        <f t="shared" si="38"/>
        <v>3</v>
      </c>
      <c r="D651">
        <v>10</v>
      </c>
      <c r="E651" t="str">
        <f>"132"</f>
        <v>132</v>
      </c>
      <c r="F651" t="str">
        <f t="shared" si="37"/>
        <v>0000</v>
      </c>
    </row>
    <row r="652" spans="1:6">
      <c r="A652" t="str">
        <f>"T479-3"</f>
        <v>T479-3</v>
      </c>
      <c r="B652" t="str">
        <f>"VIA CRAVASCO VICINO AL 7-"</f>
        <v>VIA CRAVASCO VICINO AL 7-</v>
      </c>
      <c r="C652" t="str">
        <f t="shared" si="38"/>
        <v>3</v>
      </c>
      <c r="D652">
        <v>10</v>
      </c>
      <c r="E652" t="str">
        <f>"99999"</f>
        <v>99999</v>
      </c>
      <c r="F652" t="str">
        <f t="shared" si="37"/>
        <v>0000</v>
      </c>
    </row>
    <row r="653" spans="1:6">
      <c r="A653" t="str">
        <f>"T479-4"</f>
        <v>T479-4</v>
      </c>
      <c r="B653" t="str">
        <f>"VIA CRAVASCO VICINO AL 7-"</f>
        <v>VIA CRAVASCO VICINO AL 7-</v>
      </c>
      <c r="C653" t="str">
        <f t="shared" si="38"/>
        <v>3</v>
      </c>
      <c r="D653">
        <v>10</v>
      </c>
      <c r="E653" t="str">
        <f>"99999"</f>
        <v>99999</v>
      </c>
      <c r="F653" t="str">
        <f t="shared" si="37"/>
        <v>0000</v>
      </c>
    </row>
    <row r="654" spans="1:6">
      <c r="A654" t="str">
        <f>"T480-1"</f>
        <v>T480-1</v>
      </c>
      <c r="B654" t="str">
        <f>"VIA ACQUASANTA VICINO AL 254-"</f>
        <v>VIA ACQUASANTA VICINO AL 254-</v>
      </c>
      <c r="C654" t="str">
        <f>"2"</f>
        <v>2</v>
      </c>
      <c r="D654">
        <v>24</v>
      </c>
      <c r="E654" t="str">
        <f>"99999"</f>
        <v>99999</v>
      </c>
      <c r="F654" t="str">
        <f t="shared" si="37"/>
        <v>0000</v>
      </c>
    </row>
    <row r="655" spans="1:6">
      <c r="A655" t="str">
        <f>"T480-2"</f>
        <v>T480-2</v>
      </c>
      <c r="B655" t="str">
        <f>"VIA ACQUASANTA VICINO AL 254-"</f>
        <v>VIA ACQUASANTA VICINO AL 254-</v>
      </c>
      <c r="C655" t="str">
        <f t="shared" ref="C655:C682" si="39">"3"</f>
        <v>3</v>
      </c>
      <c r="D655">
        <v>3</v>
      </c>
      <c r="E655" t="str">
        <f>"99999"</f>
        <v>99999</v>
      </c>
      <c r="F655" t="str">
        <f t="shared" si="37"/>
        <v>0000</v>
      </c>
    </row>
    <row r="656" spans="1:6">
      <c r="A656" t="str">
        <f>"T481-1"</f>
        <v>T481-1</v>
      </c>
      <c r="B656" t="str">
        <f>"VIA DE MARI VICINO AL 21-"</f>
        <v>VIA DE MARI VICINO AL 21-</v>
      </c>
      <c r="C656" t="str">
        <f t="shared" si="39"/>
        <v>3</v>
      </c>
      <c r="D656">
        <v>12</v>
      </c>
      <c r="E656" t="str">
        <f>"122"</f>
        <v>122</v>
      </c>
      <c r="F656" t="str">
        <f t="shared" si="37"/>
        <v>0000</v>
      </c>
    </row>
    <row r="657" spans="1:6">
      <c r="A657" t="str">
        <f>"T481-2"</f>
        <v>T481-2</v>
      </c>
      <c r="B657" t="str">
        <f>"VIA DE MARI VICINO AL 21-"</f>
        <v>VIA DE MARI VICINO AL 21-</v>
      </c>
      <c r="C657" t="str">
        <f t="shared" si="39"/>
        <v>3</v>
      </c>
      <c r="D657">
        <v>12</v>
      </c>
      <c r="E657" t="str">
        <f>"432"</f>
        <v>432</v>
      </c>
      <c r="F657" t="str">
        <f t="shared" si="37"/>
        <v>0000</v>
      </c>
    </row>
    <row r="658" spans="1:6">
      <c r="A658" t="str">
        <f>"T481-3"</f>
        <v>T481-3</v>
      </c>
      <c r="B658" t="str">
        <f>"VIA DE MARI VICINO AL 21-"</f>
        <v>VIA DE MARI VICINO AL 21-</v>
      </c>
      <c r="C658" t="str">
        <f t="shared" si="39"/>
        <v>3</v>
      </c>
      <c r="D658">
        <v>12</v>
      </c>
      <c r="E658" t="str">
        <f>"99999"</f>
        <v>99999</v>
      </c>
      <c r="F658" t="str">
        <f t="shared" si="37"/>
        <v>0000</v>
      </c>
    </row>
    <row r="659" spans="1:6">
      <c r="A659" t="str">
        <f>"T481-4"</f>
        <v>T481-4</v>
      </c>
      <c r="B659" t="str">
        <f>"VIA DE MARI VICINO AL 21-"</f>
        <v>VIA DE MARI VICINO AL 21-</v>
      </c>
      <c r="C659" t="str">
        <f t="shared" si="39"/>
        <v>3</v>
      </c>
      <c r="D659">
        <v>12</v>
      </c>
      <c r="E659" t="str">
        <f>"99999"</f>
        <v>99999</v>
      </c>
      <c r="F659" t="str">
        <f t="shared" si="37"/>
        <v>0000</v>
      </c>
    </row>
    <row r="660" spans="1:6">
      <c r="A660" t="str">
        <f>"T482-1"</f>
        <v>T482-1</v>
      </c>
      <c r="B660" t="str">
        <f t="shared" ref="B660:B666" si="40">"VIA MARTIRI DEL TURCHINO VICINO AL 118-"</f>
        <v>VIA MARTIRI DEL TURCHINO VICINO AL 118-</v>
      </c>
      <c r="C660" t="str">
        <f t="shared" si="39"/>
        <v>3</v>
      </c>
      <c r="D660">
        <v>10</v>
      </c>
      <c r="E660" t="str">
        <f>"63"</f>
        <v>63</v>
      </c>
      <c r="F660" t="str">
        <f t="shared" si="37"/>
        <v>0000</v>
      </c>
    </row>
    <row r="661" spans="1:6">
      <c r="A661" t="str">
        <f>"T482-2"</f>
        <v>T482-2</v>
      </c>
      <c r="B661" t="str">
        <f t="shared" si="40"/>
        <v>VIA MARTIRI DEL TURCHINO VICINO AL 118-</v>
      </c>
      <c r="C661" t="str">
        <f t="shared" si="39"/>
        <v>3</v>
      </c>
      <c r="D661">
        <v>10</v>
      </c>
      <c r="E661" t="str">
        <f>"77"</f>
        <v>77</v>
      </c>
      <c r="F661" t="str">
        <f t="shared" si="37"/>
        <v>0000</v>
      </c>
    </row>
    <row r="662" spans="1:6">
      <c r="A662" t="str">
        <f>"T482-3"</f>
        <v>T482-3</v>
      </c>
      <c r="B662" t="str">
        <f t="shared" si="40"/>
        <v>VIA MARTIRI DEL TURCHINO VICINO AL 118-</v>
      </c>
      <c r="C662" t="str">
        <f t="shared" si="39"/>
        <v>3</v>
      </c>
      <c r="D662">
        <v>10</v>
      </c>
      <c r="E662" t="str">
        <f>"78"</f>
        <v>78</v>
      </c>
      <c r="F662" t="str">
        <f t="shared" si="37"/>
        <v>0000</v>
      </c>
    </row>
    <row r="663" spans="1:6">
      <c r="A663" t="str">
        <f>"T482-4"</f>
        <v>T482-4</v>
      </c>
      <c r="B663" t="str">
        <f t="shared" si="40"/>
        <v>VIA MARTIRI DEL TURCHINO VICINO AL 118-</v>
      </c>
      <c r="C663" t="str">
        <f t="shared" si="39"/>
        <v>3</v>
      </c>
      <c r="D663">
        <v>10</v>
      </c>
      <c r="E663" t="str">
        <f>"79"</f>
        <v>79</v>
      </c>
      <c r="F663" t="str">
        <f t="shared" si="37"/>
        <v>0000</v>
      </c>
    </row>
    <row r="664" spans="1:6">
      <c r="A664" t="str">
        <f>"T482-5"</f>
        <v>T482-5</v>
      </c>
      <c r="B664" t="str">
        <f t="shared" si="40"/>
        <v>VIA MARTIRI DEL TURCHINO VICINO AL 118-</v>
      </c>
      <c r="C664" t="str">
        <f t="shared" si="39"/>
        <v>3</v>
      </c>
      <c r="D664">
        <v>10</v>
      </c>
      <c r="E664" t="str">
        <f>"136"</f>
        <v>136</v>
      </c>
      <c r="F664" t="str">
        <f t="shared" si="37"/>
        <v>0000</v>
      </c>
    </row>
    <row r="665" spans="1:6">
      <c r="A665" t="str">
        <f>"T482-6"</f>
        <v>T482-6</v>
      </c>
      <c r="B665" t="str">
        <f t="shared" si="40"/>
        <v>VIA MARTIRI DEL TURCHINO VICINO AL 118-</v>
      </c>
      <c r="C665" t="str">
        <f t="shared" si="39"/>
        <v>3</v>
      </c>
      <c r="D665">
        <v>10</v>
      </c>
      <c r="E665" t="str">
        <f>"137"</f>
        <v>137</v>
      </c>
      <c r="F665" t="str">
        <f t="shared" si="37"/>
        <v>0000</v>
      </c>
    </row>
    <row r="666" spans="1:6">
      <c r="A666" t="str">
        <f>"T482-7"</f>
        <v>T482-7</v>
      </c>
      <c r="B666" t="str">
        <f t="shared" si="40"/>
        <v>VIA MARTIRI DEL TURCHINO VICINO AL 118-</v>
      </c>
      <c r="C666" t="str">
        <f t="shared" si="39"/>
        <v>3</v>
      </c>
      <c r="D666">
        <v>10</v>
      </c>
      <c r="E666" t="str">
        <f>"76"</f>
        <v>76</v>
      </c>
      <c r="F666" t="str">
        <f t="shared" si="37"/>
        <v>0000</v>
      </c>
    </row>
    <row r="667" spans="1:6">
      <c r="A667" t="str">
        <f>"T483-1"</f>
        <v>T483-1</v>
      </c>
      <c r="B667" t="str">
        <f>"VIA CRAVASCO VICINO AL 73-"</f>
        <v>VIA CRAVASCO VICINO AL 73-</v>
      </c>
      <c r="C667" t="str">
        <f t="shared" si="39"/>
        <v>3</v>
      </c>
      <c r="D667">
        <v>10</v>
      </c>
      <c r="E667" t="str">
        <f>"117"</f>
        <v>117</v>
      </c>
      <c r="F667" t="str">
        <f t="shared" si="37"/>
        <v>0000</v>
      </c>
    </row>
    <row r="668" spans="1:6">
      <c r="A668" t="str">
        <f>"T483-2"</f>
        <v>T483-2</v>
      </c>
      <c r="B668" t="str">
        <f>"VIA CRAVASCO VICINO AL 73-"</f>
        <v>VIA CRAVASCO VICINO AL 73-</v>
      </c>
      <c r="C668" t="str">
        <f t="shared" si="39"/>
        <v>3</v>
      </c>
      <c r="D668">
        <v>10</v>
      </c>
      <c r="E668" t="str">
        <f>"126"</f>
        <v>126</v>
      </c>
      <c r="F668" t="str">
        <f t="shared" si="37"/>
        <v>0000</v>
      </c>
    </row>
    <row r="669" spans="1:6">
      <c r="A669" t="str">
        <f>"T484-1"</f>
        <v>T484-1</v>
      </c>
      <c r="B669" t="str">
        <f>"VIA PIEVE DI TECO VICINO AL 1-"</f>
        <v>VIA PIEVE DI TECO VICINO AL 1-</v>
      </c>
      <c r="C669" t="str">
        <f t="shared" si="39"/>
        <v>3</v>
      </c>
      <c r="D669">
        <v>12</v>
      </c>
      <c r="E669" t="str">
        <f>"236"</f>
        <v>236</v>
      </c>
      <c r="F669" t="str">
        <f t="shared" si="37"/>
        <v>0000</v>
      </c>
    </row>
    <row r="670" spans="1:6">
      <c r="A670" t="str">
        <f>"T484-2"</f>
        <v>T484-2</v>
      </c>
      <c r="B670" t="str">
        <f>"VIA PIEVE DI TECO VICINO AL 1-"</f>
        <v>VIA PIEVE DI TECO VICINO AL 1-</v>
      </c>
      <c r="C670" t="str">
        <f t="shared" si="39"/>
        <v>3</v>
      </c>
      <c r="D670">
        <v>12</v>
      </c>
      <c r="E670" t="str">
        <f>"319"</f>
        <v>319</v>
      </c>
      <c r="F670" t="str">
        <f t="shared" si="37"/>
        <v>0000</v>
      </c>
    </row>
    <row r="671" spans="1:6">
      <c r="A671" t="str">
        <f>"T485-1"</f>
        <v>T485-1</v>
      </c>
      <c r="B671" t="str">
        <f>"VIA PIEVE DI TECO VICINO AL 1-"</f>
        <v>VIA PIEVE DI TECO VICINO AL 1-</v>
      </c>
      <c r="C671" t="str">
        <f t="shared" si="39"/>
        <v>3</v>
      </c>
      <c r="D671">
        <v>12</v>
      </c>
      <c r="E671" t="str">
        <f>"318"</f>
        <v>318</v>
      </c>
      <c r="F671" t="str">
        <f t="shared" si="37"/>
        <v>0000</v>
      </c>
    </row>
    <row r="672" spans="1:6">
      <c r="A672" t="str">
        <f>"T486-1"</f>
        <v>T486-1</v>
      </c>
      <c r="B672" t="str">
        <f>"SALITA ROLANDO ASCHERIO VICINO AL 7-"</f>
        <v>SALITA ROLANDO ASCHERIO VICINO AL 7-</v>
      </c>
      <c r="C672" t="str">
        <f t="shared" si="39"/>
        <v>3</v>
      </c>
      <c r="D672">
        <v>11</v>
      </c>
      <c r="E672" t="str">
        <f>"418"</f>
        <v>418</v>
      </c>
      <c r="F672" t="str">
        <f t="shared" si="37"/>
        <v>0000</v>
      </c>
    </row>
    <row r="673" spans="1:6">
      <c r="A673" t="str">
        <f>"T486-2"</f>
        <v>T486-2</v>
      </c>
      <c r="B673" t="str">
        <f>"SALITA ROLANDO ASCHERIO VICINO AL 7-"</f>
        <v>SALITA ROLANDO ASCHERIO VICINO AL 7-</v>
      </c>
      <c r="C673" t="str">
        <f t="shared" si="39"/>
        <v>3</v>
      </c>
      <c r="D673">
        <v>11</v>
      </c>
      <c r="E673" t="str">
        <f>"419"</f>
        <v>419</v>
      </c>
      <c r="F673" t="str">
        <f t="shared" si="37"/>
        <v>0000</v>
      </c>
    </row>
    <row r="674" spans="1:6">
      <c r="A674" t="str">
        <f>"T491-2"</f>
        <v>T491-2</v>
      </c>
      <c r="B674" t="str">
        <f>"VIA SALVATORE QUASIMODO VICINO AL 70-"</f>
        <v>VIA SALVATORE QUASIMODO VICINO AL 70-</v>
      </c>
      <c r="C674" t="str">
        <f t="shared" si="39"/>
        <v>3</v>
      </c>
      <c r="D674">
        <v>8</v>
      </c>
      <c r="E674" t="str">
        <f>"491"</f>
        <v>491</v>
      </c>
      <c r="F674" t="str">
        <f t="shared" si="37"/>
        <v>0000</v>
      </c>
    </row>
    <row r="675" spans="1:6">
      <c r="A675" t="str">
        <f>"T491-3"</f>
        <v>T491-3</v>
      </c>
      <c r="B675" t="str">
        <f>"VIA SALVATORE QUASIMODO VICINO AL 70-"</f>
        <v>VIA SALVATORE QUASIMODO VICINO AL 70-</v>
      </c>
      <c r="C675" t="str">
        <f t="shared" si="39"/>
        <v>3</v>
      </c>
      <c r="D675">
        <v>8</v>
      </c>
      <c r="E675" t="str">
        <f>"492"</f>
        <v>492</v>
      </c>
      <c r="F675" t="str">
        <f t="shared" si="37"/>
        <v>0000</v>
      </c>
    </row>
    <row r="676" spans="1:6">
      <c r="A676" t="str">
        <f>"T491-4"</f>
        <v>T491-4</v>
      </c>
      <c r="B676" t="str">
        <f>"VIA SALVATORE QUASIMODO VICINO AL 70-"</f>
        <v>VIA SALVATORE QUASIMODO VICINO AL 70-</v>
      </c>
      <c r="C676" t="str">
        <f t="shared" si="39"/>
        <v>3</v>
      </c>
      <c r="D676">
        <v>8</v>
      </c>
      <c r="E676" t="str">
        <f>"476"</f>
        <v>476</v>
      </c>
      <c r="F676" t="str">
        <f t="shared" si="37"/>
        <v>0000</v>
      </c>
    </row>
    <row r="677" spans="1:6">
      <c r="A677" t="str">
        <f>"T491-5"</f>
        <v>T491-5</v>
      </c>
      <c r="B677" t="str">
        <f>"VIA SALVATORE QUASIMODO VICINO AL 70-"</f>
        <v>VIA SALVATORE QUASIMODO VICINO AL 70-</v>
      </c>
      <c r="C677" t="str">
        <f t="shared" si="39"/>
        <v>3</v>
      </c>
      <c r="D677">
        <v>8</v>
      </c>
      <c r="E677" t="str">
        <f>"490"</f>
        <v>490</v>
      </c>
      <c r="F677" t="str">
        <f t="shared" si="37"/>
        <v>0000</v>
      </c>
    </row>
    <row r="678" spans="1:6">
      <c r="A678" t="str">
        <f>"T491-6"</f>
        <v>T491-6</v>
      </c>
      <c r="B678" t="str">
        <f>"VIA SALVATORE QUASIMODO VICINO AL 70-"</f>
        <v>VIA SALVATORE QUASIMODO VICINO AL 70-</v>
      </c>
      <c r="C678" t="str">
        <f t="shared" si="39"/>
        <v>3</v>
      </c>
      <c r="D678">
        <v>8</v>
      </c>
      <c r="E678" t="str">
        <f>"520"</f>
        <v>520</v>
      </c>
      <c r="F678" t="str">
        <f t="shared" si="37"/>
        <v>0000</v>
      </c>
    </row>
    <row r="679" spans="1:6">
      <c r="A679" t="str">
        <f>"T496-1"</f>
        <v>T496-1</v>
      </c>
      <c r="B679" t="str">
        <f>"VIA CRAVASCO VICINO AL 16E-"</f>
        <v>VIA CRAVASCO VICINO AL 16E-</v>
      </c>
      <c r="C679" t="str">
        <f t="shared" si="39"/>
        <v>3</v>
      </c>
      <c r="D679">
        <v>10</v>
      </c>
      <c r="E679" t="str">
        <f>"539"</f>
        <v>539</v>
      </c>
      <c r="F679" t="str">
        <f t="shared" si="37"/>
        <v>0000</v>
      </c>
    </row>
    <row r="680" spans="1:6">
      <c r="A680" t="str">
        <f>"T498-1"</f>
        <v>T498-1</v>
      </c>
      <c r="B680" t="str">
        <f>"VIA CORDANIERI VICINO AL 10A-"</f>
        <v>VIA CORDANIERI VICINO AL 10A-</v>
      </c>
      <c r="C680" t="str">
        <f t="shared" si="39"/>
        <v>3</v>
      </c>
      <c r="D680">
        <v>13</v>
      </c>
      <c r="E680" t="str">
        <f>"43"</f>
        <v>43</v>
      </c>
      <c r="F680" t="str">
        <f t="shared" si="37"/>
        <v>0000</v>
      </c>
    </row>
    <row r="681" spans="1:6">
      <c r="A681" t="str">
        <f>"T498-2"</f>
        <v>T498-2</v>
      </c>
      <c r="B681" t="str">
        <f>"VIA CORDANIERI VICINO AL 10A-"</f>
        <v>VIA CORDANIERI VICINO AL 10A-</v>
      </c>
      <c r="C681" t="str">
        <f t="shared" si="39"/>
        <v>3</v>
      </c>
      <c r="D681">
        <v>13</v>
      </c>
      <c r="E681" t="str">
        <f>"44"</f>
        <v>44</v>
      </c>
      <c r="F681" t="str">
        <f t="shared" si="37"/>
        <v>0000</v>
      </c>
    </row>
    <row r="682" spans="1:6">
      <c r="A682" t="str">
        <f>"T498-4"</f>
        <v>T498-4</v>
      </c>
      <c r="B682" t="str">
        <f>"VIA CORDANIERI VICINO AL 10A-"</f>
        <v>VIA CORDANIERI VICINO AL 10A-</v>
      </c>
      <c r="C682" t="str">
        <f t="shared" si="39"/>
        <v>3</v>
      </c>
      <c r="D682">
        <v>13</v>
      </c>
      <c r="E682" t="str">
        <f>"275"</f>
        <v>275</v>
      </c>
      <c r="F682" t="str">
        <f t="shared" si="37"/>
        <v>0000</v>
      </c>
    </row>
    <row r="683" spans="1:6">
      <c r="A683" t="str">
        <f>"T554-1"</f>
        <v>T554-1</v>
      </c>
      <c r="B683" t="str">
        <f>"VIA VESIMA VICINO AL 17A-"</f>
        <v>VIA VESIMA VICINO AL 17A-</v>
      </c>
      <c r="C683" t="str">
        <f t="shared" ref="C683:C690" si="41">"2"</f>
        <v>2</v>
      </c>
      <c r="D683">
        <v>35</v>
      </c>
      <c r="E683" t="str">
        <f>"322"</f>
        <v>322</v>
      </c>
      <c r="F683" t="str">
        <f t="shared" si="37"/>
        <v>0000</v>
      </c>
    </row>
    <row r="684" spans="1:6">
      <c r="A684" t="str">
        <f>"T555-1"</f>
        <v>T555-1</v>
      </c>
      <c r="B684" t="str">
        <f>"VIA VOLTRI VICINO AL 17-"</f>
        <v>VIA VOLTRI VICINO AL 17-</v>
      </c>
      <c r="C684" t="str">
        <f t="shared" si="41"/>
        <v>2</v>
      </c>
      <c r="D684">
        <v>32</v>
      </c>
      <c r="E684" t="str">
        <f>"719"</f>
        <v>719</v>
      </c>
      <c r="F684" t="str">
        <f t="shared" si="37"/>
        <v>0000</v>
      </c>
    </row>
    <row r="685" spans="1:6">
      <c r="A685" t="str">
        <f>"T555-2"</f>
        <v>T555-2</v>
      </c>
      <c r="B685" t="str">
        <f>"VIA VOLTRI VICINO AL 17-"</f>
        <v>VIA VOLTRI VICINO AL 17-</v>
      </c>
      <c r="C685" t="str">
        <f t="shared" si="41"/>
        <v>2</v>
      </c>
      <c r="D685">
        <v>32</v>
      </c>
      <c r="E685" t="str">
        <f>"721"</f>
        <v>721</v>
      </c>
      <c r="F685" t="str">
        <f t="shared" si="37"/>
        <v>0000</v>
      </c>
    </row>
    <row r="686" spans="1:6">
      <c r="A686" t="str">
        <f>"T555-3"</f>
        <v>T555-3</v>
      </c>
      <c r="B686" t="str">
        <f>"VIA VOLTRI VICINO AL 17-"</f>
        <v>VIA VOLTRI VICINO AL 17-</v>
      </c>
      <c r="C686" t="str">
        <f t="shared" si="41"/>
        <v>2</v>
      </c>
      <c r="D686">
        <v>32</v>
      </c>
      <c r="E686" t="str">
        <f>"197"</f>
        <v>197</v>
      </c>
      <c r="F686" t="str">
        <f t="shared" si="37"/>
        <v>0000</v>
      </c>
    </row>
    <row r="687" spans="1:6">
      <c r="A687" t="str">
        <f>"T555-4"</f>
        <v>T555-4</v>
      </c>
      <c r="B687" t="str">
        <f>"VIA VOLTRI VICINO AL 17-"</f>
        <v>VIA VOLTRI VICINO AL 17-</v>
      </c>
      <c r="C687" t="str">
        <f t="shared" si="41"/>
        <v>2</v>
      </c>
      <c r="D687">
        <v>32</v>
      </c>
      <c r="E687" t="str">
        <f>"387"</f>
        <v>387</v>
      </c>
      <c r="F687" t="str">
        <f t="shared" si="37"/>
        <v>0000</v>
      </c>
    </row>
    <row r="688" spans="1:6">
      <c r="A688" t="str">
        <f>"T574-1"</f>
        <v>T574-1</v>
      </c>
      <c r="B688" t="str">
        <f>"VIA VOLTRI VICINO AL 21-"</f>
        <v>VIA VOLTRI VICINO AL 21-</v>
      </c>
      <c r="C688" t="str">
        <f t="shared" si="41"/>
        <v>2</v>
      </c>
      <c r="D688">
        <v>32</v>
      </c>
      <c r="E688" t="str">
        <f>"719"</f>
        <v>719</v>
      </c>
      <c r="F688" t="str">
        <f t="shared" si="37"/>
        <v>0000</v>
      </c>
    </row>
    <row r="689" spans="1:6">
      <c r="A689" t="str">
        <f>"T574-2"</f>
        <v>T574-2</v>
      </c>
      <c r="B689" t="str">
        <f>"VIA VOLTRI VICINO AL 21-"</f>
        <v>VIA VOLTRI VICINO AL 21-</v>
      </c>
      <c r="C689" t="str">
        <f t="shared" si="41"/>
        <v>2</v>
      </c>
      <c r="D689">
        <v>32</v>
      </c>
      <c r="E689" t="str">
        <f>"721"</f>
        <v>721</v>
      </c>
      <c r="F689" t="str">
        <f t="shared" si="37"/>
        <v>0000</v>
      </c>
    </row>
    <row r="690" spans="1:6">
      <c r="A690" t="str">
        <f>"T574-3"</f>
        <v>T574-3</v>
      </c>
      <c r="B690" t="str">
        <f>"VIA VOLTRI VICINO AL 21-"</f>
        <v>VIA VOLTRI VICINO AL 21-</v>
      </c>
      <c r="C690" t="str">
        <f t="shared" si="41"/>
        <v>2</v>
      </c>
      <c r="D690">
        <v>32</v>
      </c>
      <c r="E690" t="str">
        <f>"197"</f>
        <v>197</v>
      </c>
      <c r="F690" t="str">
        <f t="shared" si="37"/>
        <v>0000</v>
      </c>
    </row>
    <row r="691" spans="1:6">
      <c r="A691" t="str">
        <f>"T582-1"</f>
        <v>T582-1</v>
      </c>
      <c r="B691" t="str">
        <f>"SALITA LORENZO CAPPELLONI VICINO AL 7-"</f>
        <v>SALITA LORENZO CAPPELLONI VICINO AL 7-</v>
      </c>
      <c r="C691" t="str">
        <f>"3"</f>
        <v>3</v>
      </c>
      <c r="D691">
        <v>13</v>
      </c>
      <c r="E691" t="str">
        <f>"314"</f>
        <v>314</v>
      </c>
      <c r="F691" t="str">
        <f t="shared" si="37"/>
        <v>0000</v>
      </c>
    </row>
    <row r="692" spans="1:6">
      <c r="A692" t="str">
        <f>"T582-2"</f>
        <v>T582-2</v>
      </c>
      <c r="B692" t="str">
        <f>"SALITA LORENZO CAPPELLONI VICINO AL 7-"</f>
        <v>SALITA LORENZO CAPPELLONI VICINO AL 7-</v>
      </c>
      <c r="C692" t="str">
        <f>"3"</f>
        <v>3</v>
      </c>
      <c r="D692">
        <v>13</v>
      </c>
      <c r="E692" t="str">
        <f>"344"</f>
        <v>344</v>
      </c>
      <c r="F692" t="str">
        <f t="shared" si="37"/>
        <v>0000</v>
      </c>
    </row>
    <row r="693" spans="1:6">
      <c r="A693" t="str">
        <f>"T584-1"</f>
        <v>T584-1</v>
      </c>
      <c r="B693" t="str">
        <f>"VIA SABOTINO VICINO AL 60R-"</f>
        <v>VIA SABOTINO VICINO AL 60R-</v>
      </c>
      <c r="C693" t="str">
        <f>"3"</f>
        <v>3</v>
      </c>
      <c r="D693">
        <v>45</v>
      </c>
      <c r="E693" t="str">
        <f>"563"</f>
        <v>563</v>
      </c>
      <c r="F693" t="str">
        <f t="shared" si="37"/>
        <v>0000</v>
      </c>
    </row>
    <row r="694" spans="1:6">
      <c r="A694" t="str">
        <f>"T585-1"</f>
        <v>T585-1</v>
      </c>
      <c r="B694" t="str">
        <f>"VIA PEGLI VICINO AL 39-"</f>
        <v>VIA PEGLI VICINO AL 39-</v>
      </c>
      <c r="C694" t="str">
        <f>"3"</f>
        <v>3</v>
      </c>
      <c r="D694">
        <v>44</v>
      </c>
      <c r="E694" t="str">
        <f>"303"</f>
        <v>303</v>
      </c>
      <c r="F694" t="str">
        <f t="shared" si="37"/>
        <v>0000</v>
      </c>
    </row>
    <row r="695" spans="1:6">
      <c r="A695" t="str">
        <f>"T587-1"</f>
        <v>T587-1</v>
      </c>
      <c r="B695" t="str">
        <f>"VIA TITO TOSONOTTI VICINO AL 16-"</f>
        <v>VIA TITO TOSONOTTI VICINO AL 16-</v>
      </c>
      <c r="C695" t="str">
        <f>"2"</f>
        <v>2</v>
      </c>
      <c r="D695">
        <v>31</v>
      </c>
      <c r="E695" t="str">
        <f>"76"</f>
        <v>76</v>
      </c>
      <c r="F695" t="str">
        <f t="shared" si="37"/>
        <v>0000</v>
      </c>
    </row>
    <row r="696" spans="1:6">
      <c r="A696" t="str">
        <f>"T589-1"</f>
        <v>T589-1</v>
      </c>
      <c r="B696" t="str">
        <f>"VIA PRA VICINO AL 159R-"</f>
        <v>VIA PRA VICINO AL 159R-</v>
      </c>
      <c r="C696" t="str">
        <f>"3"</f>
        <v>3</v>
      </c>
      <c r="D696">
        <v>12</v>
      </c>
      <c r="E696" t="str">
        <f>"236"</f>
        <v>236</v>
      </c>
      <c r="F696" t="str">
        <f t="shared" si="37"/>
        <v>0000</v>
      </c>
    </row>
    <row r="697" spans="1:6">
      <c r="A697" t="str">
        <f>"T590-1"</f>
        <v>T590-1</v>
      </c>
      <c r="B697" t="str">
        <f>"VIA BRANEGA VICINO AL 40-"</f>
        <v>VIA BRANEGA VICINO AL 40-</v>
      </c>
      <c r="C697" t="str">
        <f>"3"</f>
        <v>3</v>
      </c>
      <c r="D697">
        <v>11</v>
      </c>
      <c r="E697" t="str">
        <f>"263"</f>
        <v>263</v>
      </c>
      <c r="F697" t="str">
        <f t="shared" si="37"/>
        <v>0000</v>
      </c>
    </row>
    <row r="698" spans="1:6">
      <c r="A698" t="str">
        <f>"T591-1"</f>
        <v>T591-1</v>
      </c>
      <c r="B698" t="str">
        <f>"VIA PIERO CALAMANDREI VICINO AL 57-"</f>
        <v>VIA PIERO CALAMANDREI VICINO AL 57-</v>
      </c>
      <c r="C698" t="str">
        <f>"2"</f>
        <v>2</v>
      </c>
      <c r="D698">
        <v>30</v>
      </c>
      <c r="E698" t="str">
        <f>"344"</f>
        <v>344</v>
      </c>
      <c r="F698" t="str">
        <f t="shared" si="37"/>
        <v>0000</v>
      </c>
    </row>
    <row r="699" spans="1:6">
      <c r="A699" t="str">
        <f>"T592-1"</f>
        <v>T592-1</v>
      </c>
      <c r="B699" t="str">
        <f>"VIA PIERO CALAMANDREI VICINO AL 49-"</f>
        <v>VIA PIERO CALAMANDREI VICINO AL 49-</v>
      </c>
      <c r="C699" t="str">
        <f>"2"</f>
        <v>2</v>
      </c>
      <c r="D699">
        <v>30</v>
      </c>
      <c r="E699" t="str">
        <f>"740"</f>
        <v>740</v>
      </c>
      <c r="F699" t="str">
        <f t="shared" si="37"/>
        <v>0000</v>
      </c>
    </row>
    <row r="700" spans="1:6">
      <c r="A700" t="str">
        <f>"T593-1"</f>
        <v>T593-1</v>
      </c>
      <c r="B700" t="str">
        <f>"VIA B MARTINO DA PEGLI VICINO AL 24-"</f>
        <v>VIA B MARTINO DA PEGLI VICINO AL 24-</v>
      </c>
      <c r="C700" t="str">
        <f t="shared" ref="C700:C763" si="42">"3"</f>
        <v>3</v>
      </c>
      <c r="D700">
        <v>42</v>
      </c>
      <c r="E700" t="str">
        <f>"243"</f>
        <v>243</v>
      </c>
      <c r="F700" t="str">
        <f t="shared" si="37"/>
        <v>0000</v>
      </c>
    </row>
    <row r="701" spans="1:6">
      <c r="A701" t="str">
        <f>"T594-1"</f>
        <v>T594-1</v>
      </c>
      <c r="B701" t="str">
        <f>"VIA B MARTINO DA PEGLI VICINO AL 11-"</f>
        <v>VIA B MARTINO DA PEGLI VICINO AL 11-</v>
      </c>
      <c r="C701" t="str">
        <f t="shared" si="42"/>
        <v>3</v>
      </c>
      <c r="D701">
        <v>42</v>
      </c>
      <c r="E701" t="str">
        <f>"243"</f>
        <v>243</v>
      </c>
      <c r="F701" t="str">
        <f t="shared" si="37"/>
        <v>0000</v>
      </c>
    </row>
    <row r="702" spans="1:6">
      <c r="A702" t="str">
        <f>"T595-6"</f>
        <v>T595-6</v>
      </c>
      <c r="B702" t="str">
        <f>"VIALE GIORGIO MODUGNO VICINO AL 62-"</f>
        <v>VIALE GIORGIO MODUGNO VICINO AL 62-</v>
      </c>
      <c r="C702" t="str">
        <f t="shared" si="42"/>
        <v>3</v>
      </c>
      <c r="D702">
        <v>41</v>
      </c>
      <c r="E702" t="str">
        <f>"1696"</f>
        <v>1696</v>
      </c>
      <c r="F702" t="str">
        <f t="shared" si="37"/>
        <v>0000</v>
      </c>
    </row>
    <row r="703" spans="1:6">
      <c r="A703" t="str">
        <f>"T595-7"</f>
        <v>T595-7</v>
      </c>
      <c r="B703" t="str">
        <f>"VIALE GIORGIO MODUGNO VICINO AL 62-"</f>
        <v>VIALE GIORGIO MODUGNO VICINO AL 62-</v>
      </c>
      <c r="C703" t="str">
        <f t="shared" si="42"/>
        <v>3</v>
      </c>
      <c r="D703">
        <v>41</v>
      </c>
      <c r="E703" t="str">
        <f>"1698"</f>
        <v>1698</v>
      </c>
      <c r="F703" t="str">
        <f t="shared" si="37"/>
        <v>0000</v>
      </c>
    </row>
    <row r="704" spans="1:6">
      <c r="A704" t="str">
        <f>"T595-8"</f>
        <v>T595-8</v>
      </c>
      <c r="B704" t="str">
        <f>"VIALE GIORGIO MODUGNO VICINO AL 62-"</f>
        <v>VIALE GIORGIO MODUGNO VICINO AL 62-</v>
      </c>
      <c r="C704" t="str">
        <f t="shared" si="42"/>
        <v>3</v>
      </c>
      <c r="D704">
        <v>41</v>
      </c>
      <c r="E704" t="str">
        <f>"1700"</f>
        <v>1700</v>
      </c>
      <c r="F704" t="str">
        <f t="shared" si="37"/>
        <v>0000</v>
      </c>
    </row>
    <row r="705" spans="1:6">
      <c r="A705" t="str">
        <f>"T595-9"</f>
        <v>T595-9</v>
      </c>
      <c r="B705" t="str">
        <f>"VIALE GIORGIO MODUGNO VICINO AL 62-"</f>
        <v>VIALE GIORGIO MODUGNO VICINO AL 62-</v>
      </c>
      <c r="C705" t="str">
        <f t="shared" si="42"/>
        <v>3</v>
      </c>
      <c r="D705">
        <v>41</v>
      </c>
      <c r="E705" t="str">
        <f>"1703"</f>
        <v>1703</v>
      </c>
      <c r="F705" t="str">
        <f t="shared" si="37"/>
        <v>0000</v>
      </c>
    </row>
    <row r="706" spans="1:6">
      <c r="A706" t="str">
        <f>"T595-14"</f>
        <v>T595-14</v>
      </c>
      <c r="B706" t="str">
        <f>"VIALE GIORGIO MODUGNO VICINO AL 62-"</f>
        <v>VIALE GIORGIO MODUGNO VICINO AL 62-</v>
      </c>
      <c r="C706" t="str">
        <f t="shared" si="42"/>
        <v>3</v>
      </c>
      <c r="D706">
        <v>41</v>
      </c>
      <c r="E706" t="str">
        <f>"1701"</f>
        <v>1701</v>
      </c>
      <c r="F706" t="str">
        <f t="shared" ref="F706:F769" si="43">"0000"</f>
        <v>0000</v>
      </c>
    </row>
    <row r="707" spans="1:6">
      <c r="A707" t="str">
        <f>"T596-1"</f>
        <v>T596-1</v>
      </c>
      <c r="B707" t="str">
        <f>"VIALE GIORGIO MODUGNO VICINO AL 81-"</f>
        <v>VIALE GIORGIO MODUGNO VICINO AL 81-</v>
      </c>
      <c r="C707" t="str">
        <f t="shared" si="42"/>
        <v>3</v>
      </c>
      <c r="D707">
        <v>41</v>
      </c>
      <c r="E707" t="str">
        <f>"240"</f>
        <v>240</v>
      </c>
      <c r="F707" t="str">
        <f t="shared" si="43"/>
        <v>0000</v>
      </c>
    </row>
    <row r="708" spans="1:6">
      <c r="A708" t="str">
        <f>"T596-2"</f>
        <v>T596-2</v>
      </c>
      <c r="B708" t="str">
        <f>"VIALE GIORGIO MODUGNO VICINO AL 81-"</f>
        <v>VIALE GIORGIO MODUGNO VICINO AL 81-</v>
      </c>
      <c r="C708" t="str">
        <f t="shared" si="42"/>
        <v>3</v>
      </c>
      <c r="D708">
        <v>41</v>
      </c>
      <c r="E708" t="str">
        <f>"241"</f>
        <v>241</v>
      </c>
      <c r="F708" t="str">
        <f t="shared" si="43"/>
        <v>0000</v>
      </c>
    </row>
    <row r="709" spans="1:6">
      <c r="A709" t="str">
        <f>"T596-3"</f>
        <v>T596-3</v>
      </c>
      <c r="B709" t="str">
        <f>"VIALE GIORGIO MODUGNO VICINO AL 81-"</f>
        <v>VIALE GIORGIO MODUGNO VICINO AL 81-</v>
      </c>
      <c r="C709" t="str">
        <f t="shared" si="42"/>
        <v>3</v>
      </c>
      <c r="D709">
        <v>41</v>
      </c>
      <c r="E709" t="str">
        <f>"242"</f>
        <v>242</v>
      </c>
      <c r="F709" t="str">
        <f t="shared" si="43"/>
        <v>0000</v>
      </c>
    </row>
    <row r="710" spans="1:6">
      <c r="A710" t="str">
        <f>"T597-1"</f>
        <v>T597-1</v>
      </c>
      <c r="B710" t="str">
        <f>"V MARIA S.MA AUSILIATRIC VICINO AL 6-"</f>
        <v>V MARIA S.MA AUSILIATRIC VICINO AL 6-</v>
      </c>
      <c r="C710" t="str">
        <f t="shared" si="42"/>
        <v>3</v>
      </c>
      <c r="D710">
        <v>13</v>
      </c>
      <c r="E710" t="str">
        <f>"53"</f>
        <v>53</v>
      </c>
      <c r="F710" t="str">
        <f t="shared" si="43"/>
        <v>0000</v>
      </c>
    </row>
    <row r="711" spans="1:6">
      <c r="A711" t="str">
        <f>"T601-1"</f>
        <v>T601-1</v>
      </c>
      <c r="B711" t="str">
        <f>"VIA RONCHI VICINO AL 54-"</f>
        <v>VIA RONCHI VICINO AL 54-</v>
      </c>
      <c r="C711" t="str">
        <f t="shared" si="42"/>
        <v>3</v>
      </c>
      <c r="D711">
        <v>46</v>
      </c>
      <c r="E711" t="str">
        <f>"504"</f>
        <v>504</v>
      </c>
      <c r="F711" t="str">
        <f t="shared" si="43"/>
        <v>0000</v>
      </c>
    </row>
    <row r="712" spans="1:6">
      <c r="A712" t="str">
        <f>"T601-3"</f>
        <v>T601-3</v>
      </c>
      <c r="B712" t="str">
        <f>"VIA RONCHI VICINO AL 54-"</f>
        <v>VIA RONCHI VICINO AL 54-</v>
      </c>
      <c r="C712" t="str">
        <f t="shared" si="42"/>
        <v>3</v>
      </c>
      <c r="D712">
        <v>46</v>
      </c>
      <c r="E712" t="str">
        <f>"262"</f>
        <v>262</v>
      </c>
      <c r="F712" t="str">
        <f t="shared" si="43"/>
        <v>0000</v>
      </c>
    </row>
    <row r="713" spans="1:6">
      <c r="A713" t="str">
        <f>"T601-4"</f>
        <v>T601-4</v>
      </c>
      <c r="B713" t="str">
        <f>"VIA RONCHI VICINO AL 54-"</f>
        <v>VIA RONCHI VICINO AL 54-</v>
      </c>
      <c r="C713" t="str">
        <f t="shared" si="42"/>
        <v>3</v>
      </c>
      <c r="D713">
        <v>46</v>
      </c>
      <c r="E713" t="str">
        <f>"503"</f>
        <v>503</v>
      </c>
      <c r="F713" t="str">
        <f t="shared" si="43"/>
        <v>0000</v>
      </c>
    </row>
    <row r="714" spans="1:6">
      <c r="A714" t="str">
        <f>"T602-1"</f>
        <v>T602-1</v>
      </c>
      <c r="B714" t="str">
        <f>"VIA GRANARA VICINO AL 10-"</f>
        <v>VIA GRANARA VICINO AL 10-</v>
      </c>
      <c r="C714" t="str">
        <f t="shared" si="42"/>
        <v>3</v>
      </c>
      <c r="D714">
        <v>43</v>
      </c>
      <c r="E714" t="str">
        <f>"6"</f>
        <v>6</v>
      </c>
      <c r="F714" t="str">
        <f t="shared" si="43"/>
        <v>0000</v>
      </c>
    </row>
    <row r="715" spans="1:6">
      <c r="A715" t="str">
        <f>"T602-2"</f>
        <v>T602-2</v>
      </c>
      <c r="B715" t="str">
        <f>"VIA GRANARA VICINO AL 10-"</f>
        <v>VIA GRANARA VICINO AL 10-</v>
      </c>
      <c r="C715" t="str">
        <f t="shared" si="42"/>
        <v>3</v>
      </c>
      <c r="D715">
        <v>43</v>
      </c>
      <c r="E715" t="str">
        <f>"642"</f>
        <v>642</v>
      </c>
      <c r="F715" t="str">
        <f t="shared" si="43"/>
        <v>0000</v>
      </c>
    </row>
    <row r="716" spans="1:6">
      <c r="A716" t="str">
        <f>"T603-1"</f>
        <v>T603-1</v>
      </c>
      <c r="B716" t="str">
        <f t="shared" ref="B716:B722" si="44">"VIA PEGLI VICINO AL 39-"</f>
        <v>VIA PEGLI VICINO AL 39-</v>
      </c>
      <c r="C716" t="str">
        <f t="shared" si="42"/>
        <v>3</v>
      </c>
      <c r="D716">
        <v>44</v>
      </c>
      <c r="E716" t="str">
        <f>"17"</f>
        <v>17</v>
      </c>
      <c r="F716" t="str">
        <f t="shared" si="43"/>
        <v>0000</v>
      </c>
    </row>
    <row r="717" spans="1:6">
      <c r="A717" t="str">
        <f>"T603-2"</f>
        <v>T603-2</v>
      </c>
      <c r="B717" t="str">
        <f t="shared" si="44"/>
        <v>VIA PEGLI VICINO AL 39-</v>
      </c>
      <c r="C717" t="str">
        <f t="shared" si="42"/>
        <v>3</v>
      </c>
      <c r="D717">
        <v>44</v>
      </c>
      <c r="E717" t="str">
        <f>"188"</f>
        <v>188</v>
      </c>
      <c r="F717" t="str">
        <f t="shared" si="43"/>
        <v>0000</v>
      </c>
    </row>
    <row r="718" spans="1:6">
      <c r="A718" t="str">
        <f>"T603-3"</f>
        <v>T603-3</v>
      </c>
      <c r="B718" t="str">
        <f t="shared" si="44"/>
        <v>VIA PEGLI VICINO AL 39-</v>
      </c>
      <c r="C718" t="str">
        <f t="shared" si="42"/>
        <v>3</v>
      </c>
      <c r="D718">
        <v>44</v>
      </c>
      <c r="E718" t="str">
        <f>"189"</f>
        <v>189</v>
      </c>
      <c r="F718" t="str">
        <f t="shared" si="43"/>
        <v>0000</v>
      </c>
    </row>
    <row r="719" spans="1:6">
      <c r="A719" t="str">
        <f>"T603-5"</f>
        <v>T603-5</v>
      </c>
      <c r="B719" t="str">
        <f t="shared" si="44"/>
        <v>VIA PEGLI VICINO AL 39-</v>
      </c>
      <c r="C719" t="str">
        <f t="shared" si="42"/>
        <v>3</v>
      </c>
      <c r="D719">
        <v>44</v>
      </c>
      <c r="E719" t="str">
        <f>"190"</f>
        <v>190</v>
      </c>
      <c r="F719" t="str">
        <f t="shared" si="43"/>
        <v>0000</v>
      </c>
    </row>
    <row r="720" spans="1:6">
      <c r="A720" t="str">
        <f>"T603-6"</f>
        <v>T603-6</v>
      </c>
      <c r="B720" t="str">
        <f t="shared" si="44"/>
        <v>VIA PEGLI VICINO AL 39-</v>
      </c>
      <c r="C720" t="str">
        <f t="shared" si="42"/>
        <v>3</v>
      </c>
      <c r="D720">
        <v>44</v>
      </c>
      <c r="E720" t="str">
        <f>"681"</f>
        <v>681</v>
      </c>
      <c r="F720" t="str">
        <f t="shared" si="43"/>
        <v>0000</v>
      </c>
    </row>
    <row r="721" spans="1:6">
      <c r="A721" t="str">
        <f>"T604-1"</f>
        <v>T604-1</v>
      </c>
      <c r="B721" t="str">
        <f t="shared" si="44"/>
        <v>VIA PEGLI VICINO AL 39-</v>
      </c>
      <c r="C721" t="str">
        <f t="shared" si="42"/>
        <v>3</v>
      </c>
      <c r="D721">
        <v>44</v>
      </c>
      <c r="E721" t="str">
        <f>"187"</f>
        <v>187</v>
      </c>
      <c r="F721" t="str">
        <f t="shared" si="43"/>
        <v>0000</v>
      </c>
    </row>
    <row r="722" spans="1:6">
      <c r="A722" t="str">
        <f>"T604-2"</f>
        <v>T604-2</v>
      </c>
      <c r="B722" t="str">
        <f t="shared" si="44"/>
        <v>VIA PEGLI VICINO AL 39-</v>
      </c>
      <c r="C722" t="str">
        <f t="shared" si="42"/>
        <v>3</v>
      </c>
      <c r="D722">
        <v>44</v>
      </c>
      <c r="E722" t="str">
        <f>"303"</f>
        <v>303</v>
      </c>
      <c r="F722" t="str">
        <f t="shared" si="43"/>
        <v>0000</v>
      </c>
    </row>
    <row r="723" spans="1:6">
      <c r="A723" t="str">
        <f>"T605-1"</f>
        <v>T605-1</v>
      </c>
      <c r="B723" t="str">
        <f t="shared" ref="B723:B786" si="45">"COMUNAGLIE DI PRA'"</f>
        <v>COMUNAGLIE DI PRA'</v>
      </c>
      <c r="C723" t="str">
        <f t="shared" si="42"/>
        <v>3</v>
      </c>
      <c r="D723">
        <v>1</v>
      </c>
      <c r="E723" t="str">
        <f>"1"</f>
        <v>1</v>
      </c>
      <c r="F723" t="str">
        <f t="shared" si="43"/>
        <v>0000</v>
      </c>
    </row>
    <row r="724" spans="1:6">
      <c r="A724" t="str">
        <f>"T605-2"</f>
        <v>T605-2</v>
      </c>
      <c r="B724" t="str">
        <f t="shared" si="45"/>
        <v>COMUNAGLIE DI PRA'</v>
      </c>
      <c r="C724" t="str">
        <f t="shared" si="42"/>
        <v>3</v>
      </c>
      <c r="D724">
        <v>1</v>
      </c>
      <c r="E724" t="str">
        <f>"2"</f>
        <v>2</v>
      </c>
      <c r="F724" t="str">
        <f t="shared" si="43"/>
        <v>0000</v>
      </c>
    </row>
    <row r="725" spans="1:6">
      <c r="A725" t="str">
        <f>"T605-3"</f>
        <v>T605-3</v>
      </c>
      <c r="B725" t="str">
        <f t="shared" si="45"/>
        <v>COMUNAGLIE DI PRA'</v>
      </c>
      <c r="C725" t="str">
        <f t="shared" si="42"/>
        <v>3</v>
      </c>
      <c r="D725">
        <v>1</v>
      </c>
      <c r="E725" t="str">
        <f>"3"</f>
        <v>3</v>
      </c>
      <c r="F725" t="str">
        <f t="shared" si="43"/>
        <v>0000</v>
      </c>
    </row>
    <row r="726" spans="1:6">
      <c r="A726" t="str">
        <f>"T605-4"</f>
        <v>T605-4</v>
      </c>
      <c r="B726" t="str">
        <f t="shared" si="45"/>
        <v>COMUNAGLIE DI PRA'</v>
      </c>
      <c r="C726" t="str">
        <f t="shared" si="42"/>
        <v>3</v>
      </c>
      <c r="D726">
        <v>1</v>
      </c>
      <c r="E726" t="str">
        <f>"4"</f>
        <v>4</v>
      </c>
      <c r="F726" t="str">
        <f t="shared" si="43"/>
        <v>0000</v>
      </c>
    </row>
    <row r="727" spans="1:6">
      <c r="A727" t="str">
        <f>"T605-5"</f>
        <v>T605-5</v>
      </c>
      <c r="B727" t="str">
        <f t="shared" si="45"/>
        <v>COMUNAGLIE DI PRA'</v>
      </c>
      <c r="C727" t="str">
        <f t="shared" si="42"/>
        <v>3</v>
      </c>
      <c r="D727">
        <v>1</v>
      </c>
      <c r="E727" t="str">
        <f>"7"</f>
        <v>7</v>
      </c>
      <c r="F727" t="str">
        <f t="shared" si="43"/>
        <v>0000</v>
      </c>
    </row>
    <row r="728" spans="1:6">
      <c r="A728" t="str">
        <f>"T605-6"</f>
        <v>T605-6</v>
      </c>
      <c r="B728" t="str">
        <f t="shared" si="45"/>
        <v>COMUNAGLIE DI PRA'</v>
      </c>
      <c r="C728" t="str">
        <f t="shared" si="42"/>
        <v>3</v>
      </c>
      <c r="D728">
        <v>1</v>
      </c>
      <c r="E728" t="str">
        <f>"10"</f>
        <v>10</v>
      </c>
      <c r="F728" t="str">
        <f t="shared" si="43"/>
        <v>0000</v>
      </c>
    </row>
    <row r="729" spans="1:6">
      <c r="A729" t="str">
        <f>"T605-7"</f>
        <v>T605-7</v>
      </c>
      <c r="B729" t="str">
        <f t="shared" si="45"/>
        <v>COMUNAGLIE DI PRA'</v>
      </c>
      <c r="C729" t="str">
        <f t="shared" si="42"/>
        <v>3</v>
      </c>
      <c r="D729">
        <v>1</v>
      </c>
      <c r="E729" t="str">
        <f>"11"</f>
        <v>11</v>
      </c>
      <c r="F729" t="str">
        <f t="shared" si="43"/>
        <v>0000</v>
      </c>
    </row>
    <row r="730" spans="1:6">
      <c r="A730" t="str">
        <f>"T605-8"</f>
        <v>T605-8</v>
      </c>
      <c r="B730" t="str">
        <f t="shared" si="45"/>
        <v>COMUNAGLIE DI PRA'</v>
      </c>
      <c r="C730" t="str">
        <f t="shared" si="42"/>
        <v>3</v>
      </c>
      <c r="D730">
        <v>1</v>
      </c>
      <c r="E730" t="str">
        <f>"12"</f>
        <v>12</v>
      </c>
      <c r="F730" t="str">
        <f t="shared" si="43"/>
        <v>0000</v>
      </c>
    </row>
    <row r="731" spans="1:6">
      <c r="A731" t="str">
        <f>"T605-9"</f>
        <v>T605-9</v>
      </c>
      <c r="B731" t="str">
        <f t="shared" si="45"/>
        <v>COMUNAGLIE DI PRA'</v>
      </c>
      <c r="C731" t="str">
        <f t="shared" si="42"/>
        <v>3</v>
      </c>
      <c r="D731">
        <v>1</v>
      </c>
      <c r="E731" t="str">
        <f>"13"</f>
        <v>13</v>
      </c>
      <c r="F731" t="str">
        <f t="shared" si="43"/>
        <v>0000</v>
      </c>
    </row>
    <row r="732" spans="1:6">
      <c r="A732" t="str">
        <f>"T605-10"</f>
        <v>T605-10</v>
      </c>
      <c r="B732" t="str">
        <f t="shared" si="45"/>
        <v>COMUNAGLIE DI PRA'</v>
      </c>
      <c r="C732" t="str">
        <f t="shared" si="42"/>
        <v>3</v>
      </c>
      <c r="D732">
        <v>1</v>
      </c>
      <c r="E732" t="str">
        <f>"15"</f>
        <v>15</v>
      </c>
      <c r="F732" t="str">
        <f t="shared" si="43"/>
        <v>0000</v>
      </c>
    </row>
    <row r="733" spans="1:6">
      <c r="A733" t="str">
        <f>"T605-11"</f>
        <v>T605-11</v>
      </c>
      <c r="B733" t="str">
        <f t="shared" si="45"/>
        <v>COMUNAGLIE DI PRA'</v>
      </c>
      <c r="C733" t="str">
        <f t="shared" si="42"/>
        <v>3</v>
      </c>
      <c r="D733">
        <v>1</v>
      </c>
      <c r="E733" t="str">
        <f>"21"</f>
        <v>21</v>
      </c>
      <c r="F733" t="str">
        <f t="shared" si="43"/>
        <v>0000</v>
      </c>
    </row>
    <row r="734" spans="1:6">
      <c r="A734" t="str">
        <f>"T605-12"</f>
        <v>T605-12</v>
      </c>
      <c r="B734" t="str">
        <f t="shared" si="45"/>
        <v>COMUNAGLIE DI PRA'</v>
      </c>
      <c r="C734" t="str">
        <f t="shared" si="42"/>
        <v>3</v>
      </c>
      <c r="D734">
        <v>1</v>
      </c>
      <c r="E734" t="str">
        <f>"22"</f>
        <v>22</v>
      </c>
      <c r="F734" t="str">
        <f t="shared" si="43"/>
        <v>0000</v>
      </c>
    </row>
    <row r="735" spans="1:6">
      <c r="A735" t="str">
        <f>"T605-13"</f>
        <v>T605-13</v>
      </c>
      <c r="B735" t="str">
        <f t="shared" si="45"/>
        <v>COMUNAGLIE DI PRA'</v>
      </c>
      <c r="C735" t="str">
        <f t="shared" si="42"/>
        <v>3</v>
      </c>
      <c r="D735">
        <v>1</v>
      </c>
      <c r="E735" t="str">
        <f>"26"</f>
        <v>26</v>
      </c>
      <c r="F735" t="str">
        <f t="shared" si="43"/>
        <v>0000</v>
      </c>
    </row>
    <row r="736" spans="1:6">
      <c r="A736" t="str">
        <f>"T605-14"</f>
        <v>T605-14</v>
      </c>
      <c r="B736" t="str">
        <f t="shared" si="45"/>
        <v>COMUNAGLIE DI PRA'</v>
      </c>
      <c r="C736" t="str">
        <f t="shared" si="42"/>
        <v>3</v>
      </c>
      <c r="D736">
        <v>1</v>
      </c>
      <c r="E736" t="str">
        <f>"41"</f>
        <v>41</v>
      </c>
      <c r="F736" t="str">
        <f t="shared" si="43"/>
        <v>0000</v>
      </c>
    </row>
    <row r="737" spans="1:6">
      <c r="A737" t="str">
        <f>"T605-15"</f>
        <v>T605-15</v>
      </c>
      <c r="B737" t="str">
        <f t="shared" si="45"/>
        <v>COMUNAGLIE DI PRA'</v>
      </c>
      <c r="C737" t="str">
        <f t="shared" si="42"/>
        <v>3</v>
      </c>
      <c r="D737">
        <v>1</v>
      </c>
      <c r="E737" t="str">
        <f>"43"</f>
        <v>43</v>
      </c>
      <c r="F737" t="str">
        <f t="shared" si="43"/>
        <v>0000</v>
      </c>
    </row>
    <row r="738" spans="1:6">
      <c r="A738" t="str">
        <f>"T605-16"</f>
        <v>T605-16</v>
      </c>
      <c r="B738" t="str">
        <f t="shared" si="45"/>
        <v>COMUNAGLIE DI PRA'</v>
      </c>
      <c r="C738" t="str">
        <f t="shared" si="42"/>
        <v>3</v>
      </c>
      <c r="D738">
        <v>1</v>
      </c>
      <c r="E738" t="str">
        <f>"44"</f>
        <v>44</v>
      </c>
      <c r="F738" t="str">
        <f t="shared" si="43"/>
        <v>0000</v>
      </c>
    </row>
    <row r="739" spans="1:6">
      <c r="A739" t="str">
        <f>"T605-17"</f>
        <v>T605-17</v>
      </c>
      <c r="B739" t="str">
        <f t="shared" si="45"/>
        <v>COMUNAGLIE DI PRA'</v>
      </c>
      <c r="C739" t="str">
        <f t="shared" si="42"/>
        <v>3</v>
      </c>
      <c r="D739">
        <v>1</v>
      </c>
      <c r="E739" t="str">
        <f>"45"</f>
        <v>45</v>
      </c>
      <c r="F739" t="str">
        <f t="shared" si="43"/>
        <v>0000</v>
      </c>
    </row>
    <row r="740" spans="1:6">
      <c r="A740" t="str">
        <f>"T605-18"</f>
        <v>T605-18</v>
      </c>
      <c r="B740" t="str">
        <f t="shared" si="45"/>
        <v>COMUNAGLIE DI PRA'</v>
      </c>
      <c r="C740" t="str">
        <f t="shared" si="42"/>
        <v>3</v>
      </c>
      <c r="D740">
        <v>1</v>
      </c>
      <c r="E740" t="str">
        <f>"46"</f>
        <v>46</v>
      </c>
      <c r="F740" t="str">
        <f t="shared" si="43"/>
        <v>0000</v>
      </c>
    </row>
    <row r="741" spans="1:6">
      <c r="A741" t="str">
        <f>"T605-19"</f>
        <v>T605-19</v>
      </c>
      <c r="B741" t="str">
        <f t="shared" si="45"/>
        <v>COMUNAGLIE DI PRA'</v>
      </c>
      <c r="C741" t="str">
        <f t="shared" si="42"/>
        <v>3</v>
      </c>
      <c r="D741">
        <v>1</v>
      </c>
      <c r="E741" t="str">
        <f>"47"</f>
        <v>47</v>
      </c>
      <c r="F741" t="str">
        <f t="shared" si="43"/>
        <v>0000</v>
      </c>
    </row>
    <row r="742" spans="1:6">
      <c r="A742" t="str">
        <f>"T605-20"</f>
        <v>T605-20</v>
      </c>
      <c r="B742" t="str">
        <f t="shared" si="45"/>
        <v>COMUNAGLIE DI PRA'</v>
      </c>
      <c r="C742" t="str">
        <f t="shared" si="42"/>
        <v>3</v>
      </c>
      <c r="D742">
        <v>1</v>
      </c>
      <c r="E742" t="str">
        <f>"50"</f>
        <v>50</v>
      </c>
      <c r="F742" t="str">
        <f t="shared" si="43"/>
        <v>0000</v>
      </c>
    </row>
    <row r="743" spans="1:6">
      <c r="A743" t="str">
        <f>"T605-21"</f>
        <v>T605-21</v>
      </c>
      <c r="B743" t="str">
        <f t="shared" si="45"/>
        <v>COMUNAGLIE DI PRA'</v>
      </c>
      <c r="C743" t="str">
        <f t="shared" si="42"/>
        <v>3</v>
      </c>
      <c r="D743">
        <v>1</v>
      </c>
      <c r="E743" t="str">
        <f>"53"</f>
        <v>53</v>
      </c>
      <c r="F743" t="str">
        <f t="shared" si="43"/>
        <v>0000</v>
      </c>
    </row>
    <row r="744" spans="1:6">
      <c r="A744" t="str">
        <f>"T605-22"</f>
        <v>T605-22</v>
      </c>
      <c r="B744" t="str">
        <f t="shared" si="45"/>
        <v>COMUNAGLIE DI PRA'</v>
      </c>
      <c r="C744" t="str">
        <f t="shared" si="42"/>
        <v>3</v>
      </c>
      <c r="D744">
        <v>1</v>
      </c>
      <c r="E744" t="str">
        <f>"54"</f>
        <v>54</v>
      </c>
      <c r="F744" t="str">
        <f t="shared" si="43"/>
        <v>0000</v>
      </c>
    </row>
    <row r="745" spans="1:6">
      <c r="A745" t="str">
        <f>"T605-23"</f>
        <v>T605-23</v>
      </c>
      <c r="B745" t="str">
        <f t="shared" si="45"/>
        <v>COMUNAGLIE DI PRA'</v>
      </c>
      <c r="C745" t="str">
        <f t="shared" si="42"/>
        <v>3</v>
      </c>
      <c r="D745">
        <v>1</v>
      </c>
      <c r="E745" t="str">
        <f>"61"</f>
        <v>61</v>
      </c>
      <c r="F745" t="str">
        <f t="shared" si="43"/>
        <v>0000</v>
      </c>
    </row>
    <row r="746" spans="1:6">
      <c r="A746" t="str">
        <f>"T605-24"</f>
        <v>T605-24</v>
      </c>
      <c r="B746" t="str">
        <f t="shared" si="45"/>
        <v>COMUNAGLIE DI PRA'</v>
      </c>
      <c r="C746" t="str">
        <f t="shared" si="42"/>
        <v>3</v>
      </c>
      <c r="D746">
        <v>1</v>
      </c>
      <c r="E746" t="str">
        <f>"64"</f>
        <v>64</v>
      </c>
      <c r="F746" t="str">
        <f t="shared" si="43"/>
        <v>0000</v>
      </c>
    </row>
    <row r="747" spans="1:6">
      <c r="A747" t="str">
        <f>"T605-25"</f>
        <v>T605-25</v>
      </c>
      <c r="B747" t="str">
        <f t="shared" si="45"/>
        <v>COMUNAGLIE DI PRA'</v>
      </c>
      <c r="C747" t="str">
        <f t="shared" si="42"/>
        <v>3</v>
      </c>
      <c r="D747">
        <v>1</v>
      </c>
      <c r="E747" t="str">
        <f>"65"</f>
        <v>65</v>
      </c>
      <c r="F747" t="str">
        <f t="shared" si="43"/>
        <v>0000</v>
      </c>
    </row>
    <row r="748" spans="1:6">
      <c r="A748" t="str">
        <f>"T605-26"</f>
        <v>T605-26</v>
      </c>
      <c r="B748" t="str">
        <f t="shared" si="45"/>
        <v>COMUNAGLIE DI PRA'</v>
      </c>
      <c r="C748" t="str">
        <f t="shared" si="42"/>
        <v>3</v>
      </c>
      <c r="D748">
        <v>1</v>
      </c>
      <c r="E748" t="str">
        <f>"66"</f>
        <v>66</v>
      </c>
      <c r="F748" t="str">
        <f t="shared" si="43"/>
        <v>0000</v>
      </c>
    </row>
    <row r="749" spans="1:6">
      <c r="A749" t="str">
        <f>"T605-27"</f>
        <v>T605-27</v>
      </c>
      <c r="B749" t="str">
        <f t="shared" si="45"/>
        <v>COMUNAGLIE DI PRA'</v>
      </c>
      <c r="C749" t="str">
        <f t="shared" si="42"/>
        <v>3</v>
      </c>
      <c r="D749">
        <v>1</v>
      </c>
      <c r="E749" t="str">
        <f>"67"</f>
        <v>67</v>
      </c>
      <c r="F749" t="str">
        <f t="shared" si="43"/>
        <v>0000</v>
      </c>
    </row>
    <row r="750" spans="1:6">
      <c r="A750" t="str">
        <f>"T605-28"</f>
        <v>T605-28</v>
      </c>
      <c r="B750" t="str">
        <f t="shared" si="45"/>
        <v>COMUNAGLIE DI PRA'</v>
      </c>
      <c r="C750" t="str">
        <f t="shared" si="42"/>
        <v>3</v>
      </c>
      <c r="D750">
        <v>1</v>
      </c>
      <c r="E750" t="str">
        <f>"68"</f>
        <v>68</v>
      </c>
      <c r="F750" t="str">
        <f t="shared" si="43"/>
        <v>0000</v>
      </c>
    </row>
    <row r="751" spans="1:6">
      <c r="A751" t="str">
        <f>"T605-29"</f>
        <v>T605-29</v>
      </c>
      <c r="B751" t="str">
        <f t="shared" si="45"/>
        <v>COMUNAGLIE DI PRA'</v>
      </c>
      <c r="C751" t="str">
        <f t="shared" si="42"/>
        <v>3</v>
      </c>
      <c r="D751">
        <v>1</v>
      </c>
      <c r="E751" t="str">
        <f>"72"</f>
        <v>72</v>
      </c>
      <c r="F751" t="str">
        <f t="shared" si="43"/>
        <v>0000</v>
      </c>
    </row>
    <row r="752" spans="1:6">
      <c r="A752" t="str">
        <f>"T605-30"</f>
        <v>T605-30</v>
      </c>
      <c r="B752" t="str">
        <f t="shared" si="45"/>
        <v>COMUNAGLIE DI PRA'</v>
      </c>
      <c r="C752" t="str">
        <f t="shared" si="42"/>
        <v>3</v>
      </c>
      <c r="D752">
        <v>1</v>
      </c>
      <c r="E752" t="str">
        <f>"73"</f>
        <v>73</v>
      </c>
      <c r="F752" t="str">
        <f t="shared" si="43"/>
        <v>0000</v>
      </c>
    </row>
    <row r="753" spans="1:6">
      <c r="A753" t="str">
        <f>"T605-31"</f>
        <v>T605-31</v>
      </c>
      <c r="B753" t="str">
        <f t="shared" si="45"/>
        <v>COMUNAGLIE DI PRA'</v>
      </c>
      <c r="C753" t="str">
        <f t="shared" si="42"/>
        <v>3</v>
      </c>
      <c r="D753">
        <v>1</v>
      </c>
      <c r="E753" t="str">
        <f>"74"</f>
        <v>74</v>
      </c>
      <c r="F753" t="str">
        <f t="shared" si="43"/>
        <v>0000</v>
      </c>
    </row>
    <row r="754" spans="1:6">
      <c r="A754" t="str">
        <f>"T605-32"</f>
        <v>T605-32</v>
      </c>
      <c r="B754" t="str">
        <f t="shared" si="45"/>
        <v>COMUNAGLIE DI PRA'</v>
      </c>
      <c r="C754" t="str">
        <f t="shared" si="42"/>
        <v>3</v>
      </c>
      <c r="D754">
        <v>1</v>
      </c>
      <c r="E754" t="str">
        <f>"75"</f>
        <v>75</v>
      </c>
      <c r="F754" t="str">
        <f t="shared" si="43"/>
        <v>0000</v>
      </c>
    </row>
    <row r="755" spans="1:6">
      <c r="A755" t="str">
        <f>"T605-33"</f>
        <v>T605-33</v>
      </c>
      <c r="B755" t="str">
        <f t="shared" si="45"/>
        <v>COMUNAGLIE DI PRA'</v>
      </c>
      <c r="C755" t="str">
        <f t="shared" si="42"/>
        <v>3</v>
      </c>
      <c r="D755">
        <v>1</v>
      </c>
      <c r="E755" t="str">
        <f>"76"</f>
        <v>76</v>
      </c>
      <c r="F755" t="str">
        <f t="shared" si="43"/>
        <v>0000</v>
      </c>
    </row>
    <row r="756" spans="1:6">
      <c r="A756" t="str">
        <f>"T605-34"</f>
        <v>T605-34</v>
      </c>
      <c r="B756" t="str">
        <f t="shared" si="45"/>
        <v>COMUNAGLIE DI PRA'</v>
      </c>
      <c r="C756" t="str">
        <f t="shared" si="42"/>
        <v>3</v>
      </c>
      <c r="D756">
        <v>1</v>
      </c>
      <c r="E756" t="str">
        <f>"77"</f>
        <v>77</v>
      </c>
      <c r="F756" t="str">
        <f t="shared" si="43"/>
        <v>0000</v>
      </c>
    </row>
    <row r="757" spans="1:6">
      <c r="A757" t="str">
        <f>"T605-35"</f>
        <v>T605-35</v>
      </c>
      <c r="B757" t="str">
        <f t="shared" si="45"/>
        <v>COMUNAGLIE DI PRA'</v>
      </c>
      <c r="C757" t="str">
        <f t="shared" si="42"/>
        <v>3</v>
      </c>
      <c r="D757">
        <v>1</v>
      </c>
      <c r="E757" t="str">
        <f>"78"</f>
        <v>78</v>
      </c>
      <c r="F757" t="str">
        <f t="shared" si="43"/>
        <v>0000</v>
      </c>
    </row>
    <row r="758" spans="1:6">
      <c r="A758" t="str">
        <f>"T605-36"</f>
        <v>T605-36</v>
      </c>
      <c r="B758" t="str">
        <f t="shared" si="45"/>
        <v>COMUNAGLIE DI PRA'</v>
      </c>
      <c r="C758" t="str">
        <f t="shared" si="42"/>
        <v>3</v>
      </c>
      <c r="D758">
        <v>1</v>
      </c>
      <c r="E758" t="str">
        <f>"80"</f>
        <v>80</v>
      </c>
      <c r="F758" t="str">
        <f t="shared" si="43"/>
        <v>0000</v>
      </c>
    </row>
    <row r="759" spans="1:6">
      <c r="A759" t="str">
        <f>"T605-37"</f>
        <v>T605-37</v>
      </c>
      <c r="B759" t="str">
        <f t="shared" si="45"/>
        <v>COMUNAGLIE DI PRA'</v>
      </c>
      <c r="C759" t="str">
        <f t="shared" si="42"/>
        <v>3</v>
      </c>
      <c r="D759">
        <v>1</v>
      </c>
      <c r="E759" t="str">
        <f>"81"</f>
        <v>81</v>
      </c>
      <c r="F759" t="str">
        <f t="shared" si="43"/>
        <v>0000</v>
      </c>
    </row>
    <row r="760" spans="1:6">
      <c r="A760" t="str">
        <f>"T605-38"</f>
        <v>T605-38</v>
      </c>
      <c r="B760" t="str">
        <f t="shared" si="45"/>
        <v>COMUNAGLIE DI PRA'</v>
      </c>
      <c r="C760" t="str">
        <f t="shared" si="42"/>
        <v>3</v>
      </c>
      <c r="D760">
        <v>1</v>
      </c>
      <c r="E760" t="str">
        <f>"87"</f>
        <v>87</v>
      </c>
      <c r="F760" t="str">
        <f t="shared" si="43"/>
        <v>0000</v>
      </c>
    </row>
    <row r="761" spans="1:6">
      <c r="A761" t="str">
        <f>"T605-39"</f>
        <v>T605-39</v>
      </c>
      <c r="B761" t="str">
        <f t="shared" si="45"/>
        <v>COMUNAGLIE DI PRA'</v>
      </c>
      <c r="C761" t="str">
        <f t="shared" si="42"/>
        <v>3</v>
      </c>
      <c r="D761">
        <v>2</v>
      </c>
      <c r="E761" t="str">
        <f>"7"</f>
        <v>7</v>
      </c>
      <c r="F761" t="str">
        <f t="shared" si="43"/>
        <v>0000</v>
      </c>
    </row>
    <row r="762" spans="1:6">
      <c r="A762" t="str">
        <f>"T605-40"</f>
        <v>T605-40</v>
      </c>
      <c r="B762" t="str">
        <f t="shared" si="45"/>
        <v>COMUNAGLIE DI PRA'</v>
      </c>
      <c r="C762" t="str">
        <f t="shared" si="42"/>
        <v>3</v>
      </c>
      <c r="D762">
        <v>2</v>
      </c>
      <c r="E762" t="str">
        <f>"8"</f>
        <v>8</v>
      </c>
      <c r="F762" t="str">
        <f t="shared" si="43"/>
        <v>0000</v>
      </c>
    </row>
    <row r="763" spans="1:6">
      <c r="A763" t="str">
        <f>"T605-41"</f>
        <v>T605-41</v>
      </c>
      <c r="B763" t="str">
        <f t="shared" si="45"/>
        <v>COMUNAGLIE DI PRA'</v>
      </c>
      <c r="C763" t="str">
        <f t="shared" si="42"/>
        <v>3</v>
      </c>
      <c r="D763">
        <v>2</v>
      </c>
      <c r="E763" t="str">
        <f>"9"</f>
        <v>9</v>
      </c>
      <c r="F763" t="str">
        <f t="shared" si="43"/>
        <v>0000</v>
      </c>
    </row>
    <row r="764" spans="1:6">
      <c r="A764" t="str">
        <f>"T605-42"</f>
        <v>T605-42</v>
      </c>
      <c r="B764" t="str">
        <f t="shared" si="45"/>
        <v>COMUNAGLIE DI PRA'</v>
      </c>
      <c r="C764" t="str">
        <f t="shared" ref="C764:C827" si="46">"3"</f>
        <v>3</v>
      </c>
      <c r="D764">
        <v>2</v>
      </c>
      <c r="E764" t="str">
        <f>"10"</f>
        <v>10</v>
      </c>
      <c r="F764" t="str">
        <f t="shared" si="43"/>
        <v>0000</v>
      </c>
    </row>
    <row r="765" spans="1:6">
      <c r="A765" t="str">
        <f>"T605-43"</f>
        <v>T605-43</v>
      </c>
      <c r="B765" t="str">
        <f t="shared" si="45"/>
        <v>COMUNAGLIE DI PRA'</v>
      </c>
      <c r="C765" t="str">
        <f t="shared" si="46"/>
        <v>3</v>
      </c>
      <c r="D765">
        <v>2</v>
      </c>
      <c r="E765" t="str">
        <f>"12"</f>
        <v>12</v>
      </c>
      <c r="F765" t="str">
        <f t="shared" si="43"/>
        <v>0000</v>
      </c>
    </row>
    <row r="766" spans="1:6">
      <c r="A766" t="str">
        <f>"T605-44"</f>
        <v>T605-44</v>
      </c>
      <c r="B766" t="str">
        <f t="shared" si="45"/>
        <v>COMUNAGLIE DI PRA'</v>
      </c>
      <c r="C766" t="str">
        <f t="shared" si="46"/>
        <v>3</v>
      </c>
      <c r="D766">
        <v>2</v>
      </c>
      <c r="E766" t="str">
        <f>"13"</f>
        <v>13</v>
      </c>
      <c r="F766" t="str">
        <f t="shared" si="43"/>
        <v>0000</v>
      </c>
    </row>
    <row r="767" spans="1:6">
      <c r="A767" t="str">
        <f>"T605-45"</f>
        <v>T605-45</v>
      </c>
      <c r="B767" t="str">
        <f t="shared" si="45"/>
        <v>COMUNAGLIE DI PRA'</v>
      </c>
      <c r="C767" t="str">
        <f t="shared" si="46"/>
        <v>3</v>
      </c>
      <c r="D767">
        <v>2</v>
      </c>
      <c r="E767" t="str">
        <f>"14"</f>
        <v>14</v>
      </c>
      <c r="F767" t="str">
        <f t="shared" si="43"/>
        <v>0000</v>
      </c>
    </row>
    <row r="768" spans="1:6">
      <c r="A768" t="str">
        <f>"T605-46"</f>
        <v>T605-46</v>
      </c>
      <c r="B768" t="str">
        <f t="shared" si="45"/>
        <v>COMUNAGLIE DI PRA'</v>
      </c>
      <c r="C768" t="str">
        <f t="shared" si="46"/>
        <v>3</v>
      </c>
      <c r="D768">
        <v>2</v>
      </c>
      <c r="E768" t="str">
        <f>"15"</f>
        <v>15</v>
      </c>
      <c r="F768" t="str">
        <f t="shared" si="43"/>
        <v>0000</v>
      </c>
    </row>
    <row r="769" spans="1:6">
      <c r="A769" t="str">
        <f>"T605-47"</f>
        <v>T605-47</v>
      </c>
      <c r="B769" t="str">
        <f t="shared" si="45"/>
        <v>COMUNAGLIE DI PRA'</v>
      </c>
      <c r="C769" t="str">
        <f t="shared" si="46"/>
        <v>3</v>
      </c>
      <c r="D769">
        <v>2</v>
      </c>
      <c r="E769" t="str">
        <f>"17"</f>
        <v>17</v>
      </c>
      <c r="F769" t="str">
        <f t="shared" si="43"/>
        <v>0000</v>
      </c>
    </row>
    <row r="770" spans="1:6">
      <c r="A770" t="str">
        <f>"T605-48"</f>
        <v>T605-48</v>
      </c>
      <c r="B770" t="str">
        <f t="shared" si="45"/>
        <v>COMUNAGLIE DI PRA'</v>
      </c>
      <c r="C770" t="str">
        <f t="shared" si="46"/>
        <v>3</v>
      </c>
      <c r="D770">
        <v>2</v>
      </c>
      <c r="E770" t="str">
        <f>"18"</f>
        <v>18</v>
      </c>
      <c r="F770" t="str">
        <f t="shared" ref="F770:F833" si="47">"0000"</f>
        <v>0000</v>
      </c>
    </row>
    <row r="771" spans="1:6">
      <c r="A771" t="str">
        <f>"T605-49"</f>
        <v>T605-49</v>
      </c>
      <c r="B771" t="str">
        <f t="shared" si="45"/>
        <v>COMUNAGLIE DI PRA'</v>
      </c>
      <c r="C771" t="str">
        <f t="shared" si="46"/>
        <v>3</v>
      </c>
      <c r="D771">
        <v>2</v>
      </c>
      <c r="E771" t="str">
        <f>"20"</f>
        <v>20</v>
      </c>
      <c r="F771" t="str">
        <f t="shared" si="47"/>
        <v>0000</v>
      </c>
    </row>
    <row r="772" spans="1:6">
      <c r="A772" t="str">
        <f>"T605-50"</f>
        <v>T605-50</v>
      </c>
      <c r="B772" t="str">
        <f t="shared" si="45"/>
        <v>COMUNAGLIE DI PRA'</v>
      </c>
      <c r="C772" t="str">
        <f t="shared" si="46"/>
        <v>3</v>
      </c>
      <c r="D772">
        <v>2</v>
      </c>
      <c r="E772" t="str">
        <f>"23"</f>
        <v>23</v>
      </c>
      <c r="F772" t="str">
        <f t="shared" si="47"/>
        <v>0000</v>
      </c>
    </row>
    <row r="773" spans="1:6">
      <c r="A773" t="str">
        <f>"T605-51"</f>
        <v>T605-51</v>
      </c>
      <c r="B773" t="str">
        <f t="shared" si="45"/>
        <v>COMUNAGLIE DI PRA'</v>
      </c>
      <c r="C773" t="str">
        <f t="shared" si="46"/>
        <v>3</v>
      </c>
      <c r="D773">
        <v>2</v>
      </c>
      <c r="E773" t="str">
        <f>"25"</f>
        <v>25</v>
      </c>
      <c r="F773" t="str">
        <f t="shared" si="47"/>
        <v>0000</v>
      </c>
    </row>
    <row r="774" spans="1:6">
      <c r="A774" t="str">
        <f>"T605-52"</f>
        <v>T605-52</v>
      </c>
      <c r="B774" t="str">
        <f t="shared" si="45"/>
        <v>COMUNAGLIE DI PRA'</v>
      </c>
      <c r="C774" t="str">
        <f t="shared" si="46"/>
        <v>3</v>
      </c>
      <c r="D774">
        <v>2</v>
      </c>
      <c r="E774" t="str">
        <f>"30"</f>
        <v>30</v>
      </c>
      <c r="F774" t="str">
        <f t="shared" si="47"/>
        <v>0000</v>
      </c>
    </row>
    <row r="775" spans="1:6">
      <c r="A775" t="str">
        <f>"T605-53"</f>
        <v>T605-53</v>
      </c>
      <c r="B775" t="str">
        <f t="shared" si="45"/>
        <v>COMUNAGLIE DI PRA'</v>
      </c>
      <c r="C775" t="str">
        <f t="shared" si="46"/>
        <v>3</v>
      </c>
      <c r="D775">
        <v>2</v>
      </c>
      <c r="E775" t="str">
        <f>"32"</f>
        <v>32</v>
      </c>
      <c r="F775" t="str">
        <f t="shared" si="47"/>
        <v>0000</v>
      </c>
    </row>
    <row r="776" spans="1:6">
      <c r="A776" t="str">
        <f>"T605-54"</f>
        <v>T605-54</v>
      </c>
      <c r="B776" t="str">
        <f t="shared" si="45"/>
        <v>COMUNAGLIE DI PRA'</v>
      </c>
      <c r="C776" t="str">
        <f t="shared" si="46"/>
        <v>3</v>
      </c>
      <c r="D776">
        <v>2</v>
      </c>
      <c r="E776" t="str">
        <f>"34"</f>
        <v>34</v>
      </c>
      <c r="F776" t="str">
        <f t="shared" si="47"/>
        <v>0000</v>
      </c>
    </row>
    <row r="777" spans="1:6">
      <c r="A777" t="str">
        <f>"T605-55"</f>
        <v>T605-55</v>
      </c>
      <c r="B777" t="str">
        <f t="shared" si="45"/>
        <v>COMUNAGLIE DI PRA'</v>
      </c>
      <c r="C777" t="str">
        <f t="shared" si="46"/>
        <v>3</v>
      </c>
      <c r="D777">
        <v>2</v>
      </c>
      <c r="E777" t="str">
        <f>"40"</f>
        <v>40</v>
      </c>
      <c r="F777" t="str">
        <f t="shared" si="47"/>
        <v>0000</v>
      </c>
    </row>
    <row r="778" spans="1:6">
      <c r="A778" t="str">
        <f>"T605-56"</f>
        <v>T605-56</v>
      </c>
      <c r="B778" t="str">
        <f t="shared" si="45"/>
        <v>COMUNAGLIE DI PRA'</v>
      </c>
      <c r="C778" t="str">
        <f t="shared" si="46"/>
        <v>3</v>
      </c>
      <c r="D778">
        <v>2</v>
      </c>
      <c r="E778" t="str">
        <f>"42"</f>
        <v>42</v>
      </c>
      <c r="F778" t="str">
        <f t="shared" si="47"/>
        <v>0000</v>
      </c>
    </row>
    <row r="779" spans="1:6">
      <c r="A779" t="str">
        <f>"T605-57"</f>
        <v>T605-57</v>
      </c>
      <c r="B779" t="str">
        <f t="shared" si="45"/>
        <v>COMUNAGLIE DI PRA'</v>
      </c>
      <c r="C779" t="str">
        <f t="shared" si="46"/>
        <v>3</v>
      </c>
      <c r="D779">
        <v>2</v>
      </c>
      <c r="E779" t="str">
        <f>"43"</f>
        <v>43</v>
      </c>
      <c r="F779" t="str">
        <f t="shared" si="47"/>
        <v>0000</v>
      </c>
    </row>
    <row r="780" spans="1:6">
      <c r="A780" t="str">
        <f>"T605-58"</f>
        <v>T605-58</v>
      </c>
      <c r="B780" t="str">
        <f t="shared" si="45"/>
        <v>COMUNAGLIE DI PRA'</v>
      </c>
      <c r="C780" t="str">
        <f t="shared" si="46"/>
        <v>3</v>
      </c>
      <c r="D780">
        <v>2</v>
      </c>
      <c r="E780" t="str">
        <f>"57"</f>
        <v>57</v>
      </c>
      <c r="F780" t="str">
        <f t="shared" si="47"/>
        <v>0000</v>
      </c>
    </row>
    <row r="781" spans="1:6">
      <c r="A781" t="str">
        <f>"T605-59"</f>
        <v>T605-59</v>
      </c>
      <c r="B781" t="str">
        <f t="shared" si="45"/>
        <v>COMUNAGLIE DI PRA'</v>
      </c>
      <c r="C781" t="str">
        <f t="shared" si="46"/>
        <v>3</v>
      </c>
      <c r="D781">
        <v>2</v>
      </c>
      <c r="E781" t="str">
        <f>"61"</f>
        <v>61</v>
      </c>
      <c r="F781" t="str">
        <f t="shared" si="47"/>
        <v>0000</v>
      </c>
    </row>
    <row r="782" spans="1:6">
      <c r="A782" t="str">
        <f>"T605-60"</f>
        <v>T605-60</v>
      </c>
      <c r="B782" t="str">
        <f t="shared" si="45"/>
        <v>COMUNAGLIE DI PRA'</v>
      </c>
      <c r="C782" t="str">
        <f t="shared" si="46"/>
        <v>3</v>
      </c>
      <c r="D782">
        <v>2</v>
      </c>
      <c r="E782" t="str">
        <f>"63"</f>
        <v>63</v>
      </c>
      <c r="F782" t="str">
        <f t="shared" si="47"/>
        <v>0000</v>
      </c>
    </row>
    <row r="783" spans="1:6">
      <c r="A783" t="str">
        <f>"T605-61"</f>
        <v>T605-61</v>
      </c>
      <c r="B783" t="str">
        <f t="shared" si="45"/>
        <v>COMUNAGLIE DI PRA'</v>
      </c>
      <c r="C783" t="str">
        <f t="shared" si="46"/>
        <v>3</v>
      </c>
      <c r="D783">
        <v>2</v>
      </c>
      <c r="E783" t="str">
        <f>"64"</f>
        <v>64</v>
      </c>
      <c r="F783" t="str">
        <f t="shared" si="47"/>
        <v>0000</v>
      </c>
    </row>
    <row r="784" spans="1:6">
      <c r="A784" t="str">
        <f>"T605-62"</f>
        <v>T605-62</v>
      </c>
      <c r="B784" t="str">
        <f t="shared" si="45"/>
        <v>COMUNAGLIE DI PRA'</v>
      </c>
      <c r="C784" t="str">
        <f t="shared" si="46"/>
        <v>3</v>
      </c>
      <c r="D784">
        <v>2</v>
      </c>
      <c r="E784" t="str">
        <f>"65"</f>
        <v>65</v>
      </c>
      <c r="F784" t="str">
        <f t="shared" si="47"/>
        <v>0000</v>
      </c>
    </row>
    <row r="785" spans="1:6">
      <c r="A785" t="str">
        <f>"T605-63"</f>
        <v>T605-63</v>
      </c>
      <c r="B785" t="str">
        <f t="shared" si="45"/>
        <v>COMUNAGLIE DI PRA'</v>
      </c>
      <c r="C785" t="str">
        <f t="shared" si="46"/>
        <v>3</v>
      </c>
      <c r="D785">
        <v>2</v>
      </c>
      <c r="E785" t="str">
        <f>"68"</f>
        <v>68</v>
      </c>
      <c r="F785" t="str">
        <f t="shared" si="47"/>
        <v>0000</v>
      </c>
    </row>
    <row r="786" spans="1:6">
      <c r="A786" t="str">
        <f>"T605-64"</f>
        <v>T605-64</v>
      </c>
      <c r="B786" t="str">
        <f t="shared" si="45"/>
        <v>COMUNAGLIE DI PRA'</v>
      </c>
      <c r="C786" t="str">
        <f t="shared" si="46"/>
        <v>3</v>
      </c>
      <c r="D786">
        <v>2</v>
      </c>
      <c r="E786" t="str">
        <f>"69"</f>
        <v>69</v>
      </c>
      <c r="F786" t="str">
        <f t="shared" si="47"/>
        <v>0000</v>
      </c>
    </row>
    <row r="787" spans="1:6">
      <c r="A787" t="str">
        <f>"T605-65"</f>
        <v>T605-65</v>
      </c>
      <c r="B787" t="str">
        <f t="shared" ref="B787:B836" si="48">"COMUNAGLIE DI PRA'"</f>
        <v>COMUNAGLIE DI PRA'</v>
      </c>
      <c r="C787" t="str">
        <f t="shared" si="46"/>
        <v>3</v>
      </c>
      <c r="D787">
        <v>2</v>
      </c>
      <c r="E787" t="str">
        <f>"71"</f>
        <v>71</v>
      </c>
      <c r="F787" t="str">
        <f t="shared" si="47"/>
        <v>0000</v>
      </c>
    </row>
    <row r="788" spans="1:6">
      <c r="A788" t="str">
        <f>"T605-66"</f>
        <v>T605-66</v>
      </c>
      <c r="B788" t="str">
        <f t="shared" si="48"/>
        <v>COMUNAGLIE DI PRA'</v>
      </c>
      <c r="C788" t="str">
        <f t="shared" si="46"/>
        <v>3</v>
      </c>
      <c r="D788">
        <v>2</v>
      </c>
      <c r="E788" t="str">
        <f>"72"</f>
        <v>72</v>
      </c>
      <c r="F788" t="str">
        <f t="shared" si="47"/>
        <v>0000</v>
      </c>
    </row>
    <row r="789" spans="1:6">
      <c r="A789" t="str">
        <f>"T605-67"</f>
        <v>T605-67</v>
      </c>
      <c r="B789" t="str">
        <f t="shared" si="48"/>
        <v>COMUNAGLIE DI PRA'</v>
      </c>
      <c r="C789" t="str">
        <f t="shared" si="46"/>
        <v>3</v>
      </c>
      <c r="D789">
        <v>2</v>
      </c>
      <c r="E789" t="str">
        <f>"78"</f>
        <v>78</v>
      </c>
      <c r="F789" t="str">
        <f t="shared" si="47"/>
        <v>0000</v>
      </c>
    </row>
    <row r="790" spans="1:6">
      <c r="A790" t="str">
        <f>"T605-68"</f>
        <v>T605-68</v>
      </c>
      <c r="B790" t="str">
        <f t="shared" si="48"/>
        <v>COMUNAGLIE DI PRA'</v>
      </c>
      <c r="C790" t="str">
        <f t="shared" si="46"/>
        <v>3</v>
      </c>
      <c r="D790">
        <v>2</v>
      </c>
      <c r="E790" t="str">
        <f>"79"</f>
        <v>79</v>
      </c>
      <c r="F790" t="str">
        <f t="shared" si="47"/>
        <v>0000</v>
      </c>
    </row>
    <row r="791" spans="1:6">
      <c r="A791" t="str">
        <f>"T605-69"</f>
        <v>T605-69</v>
      </c>
      <c r="B791" t="str">
        <f t="shared" si="48"/>
        <v>COMUNAGLIE DI PRA'</v>
      </c>
      <c r="C791" t="str">
        <f t="shared" si="46"/>
        <v>3</v>
      </c>
      <c r="D791">
        <v>2</v>
      </c>
      <c r="E791" t="str">
        <f>"81"</f>
        <v>81</v>
      </c>
      <c r="F791" t="str">
        <f t="shared" si="47"/>
        <v>0000</v>
      </c>
    </row>
    <row r="792" spans="1:6">
      <c r="A792" t="str">
        <f>"T605-70"</f>
        <v>T605-70</v>
      </c>
      <c r="B792" t="str">
        <f t="shared" si="48"/>
        <v>COMUNAGLIE DI PRA'</v>
      </c>
      <c r="C792" t="str">
        <f t="shared" si="46"/>
        <v>3</v>
      </c>
      <c r="D792">
        <v>2</v>
      </c>
      <c r="E792" t="str">
        <f>"82"</f>
        <v>82</v>
      </c>
      <c r="F792" t="str">
        <f t="shared" si="47"/>
        <v>0000</v>
      </c>
    </row>
    <row r="793" spans="1:6">
      <c r="A793" t="str">
        <f>"T605-71"</f>
        <v>T605-71</v>
      </c>
      <c r="B793" t="str">
        <f t="shared" si="48"/>
        <v>COMUNAGLIE DI PRA'</v>
      </c>
      <c r="C793" t="str">
        <f t="shared" si="46"/>
        <v>3</v>
      </c>
      <c r="D793">
        <v>4</v>
      </c>
      <c r="E793" t="str">
        <f>"8"</f>
        <v>8</v>
      </c>
      <c r="F793" t="str">
        <f t="shared" si="47"/>
        <v>0000</v>
      </c>
    </row>
    <row r="794" spans="1:6">
      <c r="A794" t="str">
        <f>"T605-72"</f>
        <v>T605-72</v>
      </c>
      <c r="B794" t="str">
        <f t="shared" si="48"/>
        <v>COMUNAGLIE DI PRA'</v>
      </c>
      <c r="C794" t="str">
        <f t="shared" si="46"/>
        <v>3</v>
      </c>
      <c r="D794">
        <v>4</v>
      </c>
      <c r="E794" t="str">
        <f>"9"</f>
        <v>9</v>
      </c>
      <c r="F794" t="str">
        <f t="shared" si="47"/>
        <v>0000</v>
      </c>
    </row>
    <row r="795" spans="1:6">
      <c r="A795" t="str">
        <f>"T605-73"</f>
        <v>T605-73</v>
      </c>
      <c r="B795" t="str">
        <f t="shared" si="48"/>
        <v>COMUNAGLIE DI PRA'</v>
      </c>
      <c r="C795" t="str">
        <f t="shared" si="46"/>
        <v>3</v>
      </c>
      <c r="D795">
        <v>4</v>
      </c>
      <c r="E795" t="str">
        <f>"10"</f>
        <v>10</v>
      </c>
      <c r="F795" t="str">
        <f t="shared" si="47"/>
        <v>0000</v>
      </c>
    </row>
    <row r="796" spans="1:6">
      <c r="A796" t="str">
        <f>"T605-74"</f>
        <v>T605-74</v>
      </c>
      <c r="B796" t="str">
        <f t="shared" si="48"/>
        <v>COMUNAGLIE DI PRA'</v>
      </c>
      <c r="C796" t="str">
        <f t="shared" si="46"/>
        <v>3</v>
      </c>
      <c r="D796">
        <v>4</v>
      </c>
      <c r="E796" t="str">
        <f>"11"</f>
        <v>11</v>
      </c>
      <c r="F796" t="str">
        <f t="shared" si="47"/>
        <v>0000</v>
      </c>
    </row>
    <row r="797" spans="1:6">
      <c r="A797" t="str">
        <f>"T605-75"</f>
        <v>T605-75</v>
      </c>
      <c r="B797" t="str">
        <f t="shared" si="48"/>
        <v>COMUNAGLIE DI PRA'</v>
      </c>
      <c r="C797" t="str">
        <f t="shared" si="46"/>
        <v>3</v>
      </c>
      <c r="D797">
        <v>4</v>
      </c>
      <c r="E797" t="str">
        <f>"15"</f>
        <v>15</v>
      </c>
      <c r="F797" t="str">
        <f t="shared" si="47"/>
        <v>0000</v>
      </c>
    </row>
    <row r="798" spans="1:6">
      <c r="A798" t="str">
        <f>"T605-76"</f>
        <v>T605-76</v>
      </c>
      <c r="B798" t="str">
        <f t="shared" si="48"/>
        <v>COMUNAGLIE DI PRA'</v>
      </c>
      <c r="C798" t="str">
        <f t="shared" si="46"/>
        <v>3</v>
      </c>
      <c r="D798">
        <v>4</v>
      </c>
      <c r="E798" t="str">
        <f>"17"</f>
        <v>17</v>
      </c>
      <c r="F798" t="str">
        <f t="shared" si="47"/>
        <v>0000</v>
      </c>
    </row>
    <row r="799" spans="1:6">
      <c r="A799" t="str">
        <f>"T605-77"</f>
        <v>T605-77</v>
      </c>
      <c r="B799" t="str">
        <f t="shared" si="48"/>
        <v>COMUNAGLIE DI PRA'</v>
      </c>
      <c r="C799" t="str">
        <f t="shared" si="46"/>
        <v>3</v>
      </c>
      <c r="D799">
        <v>4</v>
      </c>
      <c r="E799" t="str">
        <f>"18"</f>
        <v>18</v>
      </c>
      <c r="F799" t="str">
        <f t="shared" si="47"/>
        <v>0000</v>
      </c>
    </row>
    <row r="800" spans="1:6">
      <c r="A800" t="str">
        <f>"T605-78"</f>
        <v>T605-78</v>
      </c>
      <c r="B800" t="str">
        <f t="shared" si="48"/>
        <v>COMUNAGLIE DI PRA'</v>
      </c>
      <c r="C800" t="str">
        <f t="shared" si="46"/>
        <v>3</v>
      </c>
      <c r="D800">
        <v>4</v>
      </c>
      <c r="E800" t="str">
        <f>"20"</f>
        <v>20</v>
      </c>
      <c r="F800" t="str">
        <f t="shared" si="47"/>
        <v>0000</v>
      </c>
    </row>
    <row r="801" spans="1:6">
      <c r="A801" t="str">
        <f>"T605-79"</f>
        <v>T605-79</v>
      </c>
      <c r="B801" t="str">
        <f t="shared" si="48"/>
        <v>COMUNAGLIE DI PRA'</v>
      </c>
      <c r="C801" t="str">
        <f t="shared" si="46"/>
        <v>3</v>
      </c>
      <c r="D801">
        <v>4</v>
      </c>
      <c r="E801" t="str">
        <f>"21"</f>
        <v>21</v>
      </c>
      <c r="F801" t="str">
        <f t="shared" si="47"/>
        <v>0000</v>
      </c>
    </row>
    <row r="802" spans="1:6">
      <c r="A802" t="str">
        <f>"T605-80"</f>
        <v>T605-80</v>
      </c>
      <c r="B802" t="str">
        <f t="shared" si="48"/>
        <v>COMUNAGLIE DI PRA'</v>
      </c>
      <c r="C802" t="str">
        <f t="shared" si="46"/>
        <v>3</v>
      </c>
      <c r="D802">
        <v>4</v>
      </c>
      <c r="E802" t="str">
        <f>"22"</f>
        <v>22</v>
      </c>
      <c r="F802" t="str">
        <f t="shared" si="47"/>
        <v>0000</v>
      </c>
    </row>
    <row r="803" spans="1:6">
      <c r="A803" t="str">
        <f>"T605-81"</f>
        <v>T605-81</v>
      </c>
      <c r="B803" t="str">
        <f t="shared" si="48"/>
        <v>COMUNAGLIE DI PRA'</v>
      </c>
      <c r="C803" t="str">
        <f t="shared" si="46"/>
        <v>3</v>
      </c>
      <c r="D803">
        <v>4</v>
      </c>
      <c r="E803" t="str">
        <f>"26"</f>
        <v>26</v>
      </c>
      <c r="F803" t="str">
        <f t="shared" si="47"/>
        <v>0000</v>
      </c>
    </row>
    <row r="804" spans="1:6">
      <c r="A804" t="str">
        <f>"T605-82"</f>
        <v>T605-82</v>
      </c>
      <c r="B804" t="str">
        <f t="shared" si="48"/>
        <v>COMUNAGLIE DI PRA'</v>
      </c>
      <c r="C804" t="str">
        <f t="shared" si="46"/>
        <v>3</v>
      </c>
      <c r="D804">
        <v>4</v>
      </c>
      <c r="E804" t="str">
        <f>"29"</f>
        <v>29</v>
      </c>
      <c r="F804" t="str">
        <f t="shared" si="47"/>
        <v>0000</v>
      </c>
    </row>
    <row r="805" spans="1:6">
      <c r="A805" t="str">
        <f>"T605-83"</f>
        <v>T605-83</v>
      </c>
      <c r="B805" t="str">
        <f t="shared" si="48"/>
        <v>COMUNAGLIE DI PRA'</v>
      </c>
      <c r="C805" t="str">
        <f t="shared" si="46"/>
        <v>3</v>
      </c>
      <c r="D805">
        <v>4</v>
      </c>
      <c r="E805" t="str">
        <f>"30"</f>
        <v>30</v>
      </c>
      <c r="F805" t="str">
        <f t="shared" si="47"/>
        <v>0000</v>
      </c>
    </row>
    <row r="806" spans="1:6">
      <c r="A806" t="str">
        <f>"T605-84"</f>
        <v>T605-84</v>
      </c>
      <c r="B806" t="str">
        <f t="shared" si="48"/>
        <v>COMUNAGLIE DI PRA'</v>
      </c>
      <c r="C806" t="str">
        <f t="shared" si="46"/>
        <v>3</v>
      </c>
      <c r="D806">
        <v>4</v>
      </c>
      <c r="E806" t="str">
        <f>"31"</f>
        <v>31</v>
      </c>
      <c r="F806" t="str">
        <f t="shared" si="47"/>
        <v>0000</v>
      </c>
    </row>
    <row r="807" spans="1:6">
      <c r="A807" t="str">
        <f>"T605-85"</f>
        <v>T605-85</v>
      </c>
      <c r="B807" t="str">
        <f t="shared" si="48"/>
        <v>COMUNAGLIE DI PRA'</v>
      </c>
      <c r="C807" t="str">
        <f t="shared" si="46"/>
        <v>3</v>
      </c>
      <c r="D807">
        <v>4</v>
      </c>
      <c r="E807" t="str">
        <f>"33"</f>
        <v>33</v>
      </c>
      <c r="F807" t="str">
        <f t="shared" si="47"/>
        <v>0000</v>
      </c>
    </row>
    <row r="808" spans="1:6">
      <c r="A808" t="str">
        <f>"T605-86"</f>
        <v>T605-86</v>
      </c>
      <c r="B808" t="str">
        <f t="shared" si="48"/>
        <v>COMUNAGLIE DI PRA'</v>
      </c>
      <c r="C808" t="str">
        <f t="shared" si="46"/>
        <v>3</v>
      </c>
      <c r="D808">
        <v>4</v>
      </c>
      <c r="E808" t="str">
        <f>"34"</f>
        <v>34</v>
      </c>
      <c r="F808" t="str">
        <f t="shared" si="47"/>
        <v>0000</v>
      </c>
    </row>
    <row r="809" spans="1:6">
      <c r="A809" t="str">
        <f>"T605-87"</f>
        <v>T605-87</v>
      </c>
      <c r="B809" t="str">
        <f t="shared" si="48"/>
        <v>COMUNAGLIE DI PRA'</v>
      </c>
      <c r="C809" t="str">
        <f t="shared" si="46"/>
        <v>3</v>
      </c>
      <c r="D809">
        <v>4</v>
      </c>
      <c r="E809" t="str">
        <f>"53"</f>
        <v>53</v>
      </c>
      <c r="F809" t="str">
        <f t="shared" si="47"/>
        <v>0000</v>
      </c>
    </row>
    <row r="810" spans="1:6">
      <c r="A810" t="str">
        <f>"T605-88"</f>
        <v>T605-88</v>
      </c>
      <c r="B810" t="str">
        <f t="shared" si="48"/>
        <v>COMUNAGLIE DI PRA'</v>
      </c>
      <c r="C810" t="str">
        <f t="shared" si="46"/>
        <v>3</v>
      </c>
      <c r="D810">
        <v>4</v>
      </c>
      <c r="E810" t="str">
        <f>"54"</f>
        <v>54</v>
      </c>
      <c r="F810" t="str">
        <f t="shared" si="47"/>
        <v>0000</v>
      </c>
    </row>
    <row r="811" spans="1:6">
      <c r="A811" t="str">
        <f>"T605-89"</f>
        <v>T605-89</v>
      </c>
      <c r="B811" t="str">
        <f t="shared" si="48"/>
        <v>COMUNAGLIE DI PRA'</v>
      </c>
      <c r="C811" t="str">
        <f t="shared" si="46"/>
        <v>3</v>
      </c>
      <c r="D811">
        <v>4</v>
      </c>
      <c r="E811" t="str">
        <f>"93"</f>
        <v>93</v>
      </c>
      <c r="F811" t="str">
        <f t="shared" si="47"/>
        <v>0000</v>
      </c>
    </row>
    <row r="812" spans="1:6">
      <c r="A812" t="str">
        <f>"T605-90"</f>
        <v>T605-90</v>
      </c>
      <c r="B812" t="str">
        <f t="shared" si="48"/>
        <v>COMUNAGLIE DI PRA'</v>
      </c>
      <c r="C812" t="str">
        <f t="shared" si="46"/>
        <v>3</v>
      </c>
      <c r="D812">
        <v>4</v>
      </c>
      <c r="E812" t="str">
        <f>"152"</f>
        <v>152</v>
      </c>
      <c r="F812" t="str">
        <f t="shared" si="47"/>
        <v>0000</v>
      </c>
    </row>
    <row r="813" spans="1:6">
      <c r="A813" t="str">
        <f>"T605-91"</f>
        <v>T605-91</v>
      </c>
      <c r="B813" t="str">
        <f t="shared" si="48"/>
        <v>COMUNAGLIE DI PRA'</v>
      </c>
      <c r="C813" t="str">
        <f t="shared" si="46"/>
        <v>3</v>
      </c>
      <c r="D813">
        <v>4</v>
      </c>
      <c r="E813" t="str">
        <f>"154"</f>
        <v>154</v>
      </c>
      <c r="F813" t="str">
        <f t="shared" si="47"/>
        <v>0000</v>
      </c>
    </row>
    <row r="814" spans="1:6">
      <c r="A814" t="str">
        <f>"T605-92"</f>
        <v>T605-92</v>
      </c>
      <c r="B814" t="str">
        <f t="shared" si="48"/>
        <v>COMUNAGLIE DI PRA'</v>
      </c>
      <c r="C814" t="str">
        <f t="shared" si="46"/>
        <v>3</v>
      </c>
      <c r="D814">
        <v>4</v>
      </c>
      <c r="E814" t="str">
        <f>"160"</f>
        <v>160</v>
      </c>
      <c r="F814" t="str">
        <f t="shared" si="47"/>
        <v>0000</v>
      </c>
    </row>
    <row r="815" spans="1:6">
      <c r="A815" t="str">
        <f>"T605-93"</f>
        <v>T605-93</v>
      </c>
      <c r="B815" t="str">
        <f t="shared" si="48"/>
        <v>COMUNAGLIE DI PRA'</v>
      </c>
      <c r="C815" t="str">
        <f t="shared" si="46"/>
        <v>3</v>
      </c>
      <c r="D815">
        <v>4</v>
      </c>
      <c r="E815" t="str">
        <f>"161"</f>
        <v>161</v>
      </c>
      <c r="F815" t="str">
        <f t="shared" si="47"/>
        <v>0000</v>
      </c>
    </row>
    <row r="816" spans="1:6">
      <c r="A816" t="str">
        <f>"T605-94"</f>
        <v>T605-94</v>
      </c>
      <c r="B816" t="str">
        <f t="shared" si="48"/>
        <v>COMUNAGLIE DI PRA'</v>
      </c>
      <c r="C816" t="str">
        <f t="shared" si="46"/>
        <v>3</v>
      </c>
      <c r="D816">
        <v>4</v>
      </c>
      <c r="E816" t="str">
        <f>"162"</f>
        <v>162</v>
      </c>
      <c r="F816" t="str">
        <f t="shared" si="47"/>
        <v>0000</v>
      </c>
    </row>
    <row r="817" spans="1:6">
      <c r="A817" t="str">
        <f>"T605-95"</f>
        <v>T605-95</v>
      </c>
      <c r="B817" t="str">
        <f t="shared" si="48"/>
        <v>COMUNAGLIE DI PRA'</v>
      </c>
      <c r="C817" t="str">
        <f t="shared" si="46"/>
        <v>3</v>
      </c>
      <c r="D817">
        <v>4</v>
      </c>
      <c r="E817" t="str">
        <f>"176"</f>
        <v>176</v>
      </c>
      <c r="F817" t="str">
        <f t="shared" si="47"/>
        <v>0000</v>
      </c>
    </row>
    <row r="818" spans="1:6">
      <c r="A818" t="str">
        <f>"T605-96"</f>
        <v>T605-96</v>
      </c>
      <c r="B818" t="str">
        <f t="shared" si="48"/>
        <v>COMUNAGLIE DI PRA'</v>
      </c>
      <c r="C818" t="str">
        <f t="shared" si="46"/>
        <v>3</v>
      </c>
      <c r="D818">
        <v>4</v>
      </c>
      <c r="E818" t="str">
        <f>"177"</f>
        <v>177</v>
      </c>
      <c r="F818" t="str">
        <f t="shared" si="47"/>
        <v>0000</v>
      </c>
    </row>
    <row r="819" spans="1:6">
      <c r="A819" t="str">
        <f>"T605-97"</f>
        <v>T605-97</v>
      </c>
      <c r="B819" t="str">
        <f t="shared" si="48"/>
        <v>COMUNAGLIE DI PRA'</v>
      </c>
      <c r="C819" t="str">
        <f t="shared" si="46"/>
        <v>3</v>
      </c>
      <c r="D819">
        <v>4</v>
      </c>
      <c r="E819" t="str">
        <f>"190"</f>
        <v>190</v>
      </c>
      <c r="F819" t="str">
        <f t="shared" si="47"/>
        <v>0000</v>
      </c>
    </row>
    <row r="820" spans="1:6">
      <c r="A820" t="str">
        <f>"T605-98"</f>
        <v>T605-98</v>
      </c>
      <c r="B820" t="str">
        <f t="shared" si="48"/>
        <v>COMUNAGLIE DI PRA'</v>
      </c>
      <c r="C820" t="str">
        <f t="shared" si="46"/>
        <v>3</v>
      </c>
      <c r="D820">
        <v>4</v>
      </c>
      <c r="E820" t="str">
        <f>"191"</f>
        <v>191</v>
      </c>
      <c r="F820" t="str">
        <f t="shared" si="47"/>
        <v>0000</v>
      </c>
    </row>
    <row r="821" spans="1:6">
      <c r="A821" t="str">
        <f>"T605-99"</f>
        <v>T605-99</v>
      </c>
      <c r="B821" t="str">
        <f t="shared" si="48"/>
        <v>COMUNAGLIE DI PRA'</v>
      </c>
      <c r="C821" t="str">
        <f t="shared" si="46"/>
        <v>3</v>
      </c>
      <c r="D821">
        <v>4</v>
      </c>
      <c r="E821" t="str">
        <f>"192"</f>
        <v>192</v>
      </c>
      <c r="F821" t="str">
        <f t="shared" si="47"/>
        <v>0000</v>
      </c>
    </row>
    <row r="822" spans="1:6">
      <c r="A822" t="str">
        <f>"T605-100"</f>
        <v>T605-100</v>
      </c>
      <c r="B822" t="str">
        <f t="shared" si="48"/>
        <v>COMUNAGLIE DI PRA'</v>
      </c>
      <c r="C822" t="str">
        <f t="shared" si="46"/>
        <v>3</v>
      </c>
      <c r="D822">
        <v>4</v>
      </c>
      <c r="E822" t="str">
        <f>"193"</f>
        <v>193</v>
      </c>
      <c r="F822" t="str">
        <f t="shared" si="47"/>
        <v>0000</v>
      </c>
    </row>
    <row r="823" spans="1:6">
      <c r="A823" t="str">
        <f>"T605-101"</f>
        <v>T605-101</v>
      </c>
      <c r="B823" t="str">
        <f t="shared" si="48"/>
        <v>COMUNAGLIE DI PRA'</v>
      </c>
      <c r="C823" t="str">
        <f t="shared" si="46"/>
        <v>3</v>
      </c>
      <c r="D823">
        <v>5</v>
      </c>
      <c r="E823" t="str">
        <f>"1"</f>
        <v>1</v>
      </c>
      <c r="F823" t="str">
        <f t="shared" si="47"/>
        <v>0000</v>
      </c>
    </row>
    <row r="824" spans="1:6">
      <c r="A824" t="str">
        <f>"T605-102"</f>
        <v>T605-102</v>
      </c>
      <c r="B824" t="str">
        <f t="shared" si="48"/>
        <v>COMUNAGLIE DI PRA'</v>
      </c>
      <c r="C824" t="str">
        <f t="shared" si="46"/>
        <v>3</v>
      </c>
      <c r="D824">
        <v>5</v>
      </c>
      <c r="E824" t="str">
        <f>"2"</f>
        <v>2</v>
      </c>
      <c r="F824" t="str">
        <f t="shared" si="47"/>
        <v>0000</v>
      </c>
    </row>
    <row r="825" spans="1:6">
      <c r="A825" t="str">
        <f>"T605-103"</f>
        <v>T605-103</v>
      </c>
      <c r="B825" t="str">
        <f t="shared" si="48"/>
        <v>COMUNAGLIE DI PRA'</v>
      </c>
      <c r="C825" t="str">
        <f t="shared" si="46"/>
        <v>3</v>
      </c>
      <c r="D825">
        <v>5</v>
      </c>
      <c r="E825" t="str">
        <f>"4"</f>
        <v>4</v>
      </c>
      <c r="F825" t="str">
        <f t="shared" si="47"/>
        <v>0000</v>
      </c>
    </row>
    <row r="826" spans="1:6">
      <c r="A826" t="str">
        <f>"T605-104"</f>
        <v>T605-104</v>
      </c>
      <c r="B826" t="str">
        <f t="shared" si="48"/>
        <v>COMUNAGLIE DI PRA'</v>
      </c>
      <c r="C826" t="str">
        <f t="shared" si="46"/>
        <v>3</v>
      </c>
      <c r="D826">
        <v>5</v>
      </c>
      <c r="E826" t="str">
        <f>"5"</f>
        <v>5</v>
      </c>
      <c r="F826" t="str">
        <f t="shared" si="47"/>
        <v>0000</v>
      </c>
    </row>
    <row r="827" spans="1:6">
      <c r="A827" t="str">
        <f>"T605-105"</f>
        <v>T605-105</v>
      </c>
      <c r="B827" t="str">
        <f t="shared" si="48"/>
        <v>COMUNAGLIE DI PRA'</v>
      </c>
      <c r="C827" t="str">
        <f t="shared" si="46"/>
        <v>3</v>
      </c>
      <c r="D827">
        <v>5</v>
      </c>
      <c r="E827" t="str">
        <f>"6"</f>
        <v>6</v>
      </c>
      <c r="F827" t="str">
        <f t="shared" si="47"/>
        <v>0000</v>
      </c>
    </row>
    <row r="828" spans="1:6">
      <c r="A828" t="str">
        <f>"T605-106"</f>
        <v>T605-106</v>
      </c>
      <c r="B828" t="str">
        <f t="shared" si="48"/>
        <v>COMUNAGLIE DI PRA'</v>
      </c>
      <c r="C828" t="str">
        <f t="shared" ref="C828:C888" si="49">"3"</f>
        <v>3</v>
      </c>
      <c r="D828">
        <v>5</v>
      </c>
      <c r="E828" t="str">
        <f>"7"</f>
        <v>7</v>
      </c>
      <c r="F828" t="str">
        <f t="shared" si="47"/>
        <v>0000</v>
      </c>
    </row>
    <row r="829" spans="1:6">
      <c r="A829" t="str">
        <f>"T605-107"</f>
        <v>T605-107</v>
      </c>
      <c r="B829" t="str">
        <f t="shared" si="48"/>
        <v>COMUNAGLIE DI PRA'</v>
      </c>
      <c r="C829" t="str">
        <f t="shared" si="49"/>
        <v>3</v>
      </c>
      <c r="D829">
        <v>5</v>
      </c>
      <c r="E829" t="str">
        <f>"8"</f>
        <v>8</v>
      </c>
      <c r="F829" t="str">
        <f t="shared" si="47"/>
        <v>0000</v>
      </c>
    </row>
    <row r="830" spans="1:6">
      <c r="A830" t="str">
        <f>"T605-108"</f>
        <v>T605-108</v>
      </c>
      <c r="B830" t="str">
        <f t="shared" si="48"/>
        <v>COMUNAGLIE DI PRA'</v>
      </c>
      <c r="C830" t="str">
        <f t="shared" si="49"/>
        <v>3</v>
      </c>
      <c r="D830">
        <v>5</v>
      </c>
      <c r="E830" t="str">
        <f>"10"</f>
        <v>10</v>
      </c>
      <c r="F830" t="str">
        <f t="shared" si="47"/>
        <v>0000</v>
      </c>
    </row>
    <row r="831" spans="1:6">
      <c r="A831" t="str">
        <f>"T605-109"</f>
        <v>T605-109</v>
      </c>
      <c r="B831" t="str">
        <f t="shared" si="48"/>
        <v>COMUNAGLIE DI PRA'</v>
      </c>
      <c r="C831" t="str">
        <f t="shared" si="49"/>
        <v>3</v>
      </c>
      <c r="D831">
        <v>5</v>
      </c>
      <c r="E831" t="str">
        <f>"126"</f>
        <v>126</v>
      </c>
      <c r="F831" t="str">
        <f t="shared" si="47"/>
        <v>0000</v>
      </c>
    </row>
    <row r="832" spans="1:6">
      <c r="A832" t="str">
        <f>"T605-110"</f>
        <v>T605-110</v>
      </c>
      <c r="B832" t="str">
        <f t="shared" si="48"/>
        <v>COMUNAGLIE DI PRA'</v>
      </c>
      <c r="C832" t="str">
        <f t="shared" si="49"/>
        <v>3</v>
      </c>
      <c r="D832">
        <v>5</v>
      </c>
      <c r="E832" t="str">
        <f>"127"</f>
        <v>127</v>
      </c>
      <c r="F832" t="str">
        <f t="shared" si="47"/>
        <v>0000</v>
      </c>
    </row>
    <row r="833" spans="1:6">
      <c r="A833" t="str">
        <f>"T605-111"</f>
        <v>T605-111</v>
      </c>
      <c r="B833" t="str">
        <f t="shared" si="48"/>
        <v>COMUNAGLIE DI PRA'</v>
      </c>
      <c r="C833" t="str">
        <f t="shared" si="49"/>
        <v>3</v>
      </c>
      <c r="D833">
        <v>5</v>
      </c>
      <c r="E833" t="str">
        <f>"128"</f>
        <v>128</v>
      </c>
      <c r="F833" t="str">
        <f t="shared" si="47"/>
        <v>0000</v>
      </c>
    </row>
    <row r="834" spans="1:6">
      <c r="A834" t="str">
        <f>"T605-112"</f>
        <v>T605-112</v>
      </c>
      <c r="B834" t="str">
        <f t="shared" si="48"/>
        <v>COMUNAGLIE DI PRA'</v>
      </c>
      <c r="C834" t="str">
        <f t="shared" si="49"/>
        <v>3</v>
      </c>
      <c r="D834">
        <v>5</v>
      </c>
      <c r="E834" t="str">
        <f>"129"</f>
        <v>129</v>
      </c>
      <c r="F834" t="str">
        <f t="shared" ref="F834:F897" si="50">"0000"</f>
        <v>0000</v>
      </c>
    </row>
    <row r="835" spans="1:6">
      <c r="A835" t="str">
        <f>"T605-113"</f>
        <v>T605-113</v>
      </c>
      <c r="B835" t="str">
        <f t="shared" si="48"/>
        <v>COMUNAGLIE DI PRA'</v>
      </c>
      <c r="C835" t="str">
        <f t="shared" si="49"/>
        <v>3</v>
      </c>
      <c r="D835">
        <v>9</v>
      </c>
      <c r="E835" t="str">
        <f>"5"</f>
        <v>5</v>
      </c>
      <c r="F835" t="str">
        <f t="shared" si="50"/>
        <v>0000</v>
      </c>
    </row>
    <row r="836" spans="1:6">
      <c r="A836" t="str">
        <f>"T605-114"</f>
        <v>T605-114</v>
      </c>
      <c r="B836" t="str">
        <f t="shared" si="48"/>
        <v>COMUNAGLIE DI PRA'</v>
      </c>
      <c r="C836" t="str">
        <f t="shared" si="49"/>
        <v>3</v>
      </c>
      <c r="D836">
        <v>9</v>
      </c>
      <c r="E836" t="str">
        <f>"6"</f>
        <v>6</v>
      </c>
      <c r="F836" t="str">
        <f t="shared" si="50"/>
        <v>0000</v>
      </c>
    </row>
    <row r="837" spans="1:6">
      <c r="A837" t="str">
        <f>"T606-1"</f>
        <v>T606-1</v>
      </c>
      <c r="B837" t="str">
        <f>"VIA DE NICOLAY VICINO AL 4-"</f>
        <v>VIA DE NICOLAY VICINO AL 4-</v>
      </c>
      <c r="C837" t="str">
        <f t="shared" si="49"/>
        <v>3</v>
      </c>
      <c r="D837">
        <v>45</v>
      </c>
      <c r="E837" t="str">
        <f>"281"</f>
        <v>281</v>
      </c>
      <c r="F837" t="str">
        <f t="shared" si="50"/>
        <v>0000</v>
      </c>
    </row>
    <row r="838" spans="1:6">
      <c r="A838" t="str">
        <f>"T606-2"</f>
        <v>T606-2</v>
      </c>
      <c r="B838" t="str">
        <f>"VIA DE NICOLAY VICINO AL 4-"</f>
        <v>VIA DE NICOLAY VICINO AL 4-</v>
      </c>
      <c r="C838" t="str">
        <f t="shared" si="49"/>
        <v>3</v>
      </c>
      <c r="D838">
        <v>45</v>
      </c>
      <c r="E838" t="str">
        <f>"523"</f>
        <v>523</v>
      </c>
      <c r="F838" t="str">
        <f t="shared" si="50"/>
        <v>0000</v>
      </c>
    </row>
    <row r="839" spans="1:6">
      <c r="A839" t="str">
        <f>"T607-1"</f>
        <v>T607-1</v>
      </c>
      <c r="B839" t="str">
        <f t="shared" ref="B839:B844" si="51">"VIALE GIORGIO MODUGNO VICINO AL 81-"</f>
        <v>VIALE GIORGIO MODUGNO VICINO AL 81-</v>
      </c>
      <c r="C839" t="str">
        <f t="shared" si="49"/>
        <v>3</v>
      </c>
      <c r="D839">
        <v>41</v>
      </c>
      <c r="E839" t="str">
        <f>"154"</f>
        <v>154</v>
      </c>
      <c r="F839" t="str">
        <f t="shared" si="50"/>
        <v>0000</v>
      </c>
    </row>
    <row r="840" spans="1:6">
      <c r="A840" t="str">
        <f>"T607-2"</f>
        <v>T607-2</v>
      </c>
      <c r="B840" t="str">
        <f t="shared" si="51"/>
        <v>VIALE GIORGIO MODUGNO VICINO AL 81-</v>
      </c>
      <c r="C840" t="str">
        <f t="shared" si="49"/>
        <v>3</v>
      </c>
      <c r="D840">
        <v>41</v>
      </c>
      <c r="E840" t="str">
        <f>"239"</f>
        <v>239</v>
      </c>
      <c r="F840" t="str">
        <f t="shared" si="50"/>
        <v>0000</v>
      </c>
    </row>
    <row r="841" spans="1:6">
      <c r="A841" t="str">
        <f>"T607-3"</f>
        <v>T607-3</v>
      </c>
      <c r="B841" t="str">
        <f t="shared" si="51"/>
        <v>VIALE GIORGIO MODUGNO VICINO AL 81-</v>
      </c>
      <c r="C841" t="str">
        <f t="shared" si="49"/>
        <v>3</v>
      </c>
      <c r="D841">
        <v>41</v>
      </c>
      <c r="E841" t="str">
        <f>"240"</f>
        <v>240</v>
      </c>
      <c r="F841" t="str">
        <f t="shared" si="50"/>
        <v>0000</v>
      </c>
    </row>
    <row r="842" spans="1:6">
      <c r="A842" t="str">
        <f>"T607-5"</f>
        <v>T607-5</v>
      </c>
      <c r="B842" t="str">
        <f t="shared" si="51"/>
        <v>VIALE GIORGIO MODUGNO VICINO AL 81-</v>
      </c>
      <c r="C842" t="str">
        <f t="shared" si="49"/>
        <v>3</v>
      </c>
      <c r="D842">
        <v>41</v>
      </c>
      <c r="E842" t="str">
        <f>"242"</f>
        <v>242</v>
      </c>
      <c r="F842" t="str">
        <f t="shared" si="50"/>
        <v>0000</v>
      </c>
    </row>
    <row r="843" spans="1:6">
      <c r="A843" t="str">
        <f>"T607-7"</f>
        <v>T607-7</v>
      </c>
      <c r="B843" t="str">
        <f t="shared" si="51"/>
        <v>VIALE GIORGIO MODUGNO VICINO AL 81-</v>
      </c>
      <c r="C843" t="str">
        <f t="shared" si="49"/>
        <v>3</v>
      </c>
      <c r="D843">
        <v>41</v>
      </c>
      <c r="E843" t="str">
        <f>"244"</f>
        <v>244</v>
      </c>
      <c r="F843" t="str">
        <f t="shared" si="50"/>
        <v>0000</v>
      </c>
    </row>
    <row r="844" spans="1:6">
      <c r="A844" t="str">
        <f>"T607-11"</f>
        <v>T607-11</v>
      </c>
      <c r="B844" t="str">
        <f t="shared" si="51"/>
        <v>VIALE GIORGIO MODUGNO VICINO AL 81-</v>
      </c>
      <c r="C844" t="str">
        <f t="shared" si="49"/>
        <v>3</v>
      </c>
      <c r="D844">
        <v>41</v>
      </c>
      <c r="E844" t="str">
        <f>"392"</f>
        <v>392</v>
      </c>
      <c r="F844" t="str">
        <f t="shared" si="50"/>
        <v>0000</v>
      </c>
    </row>
    <row r="845" spans="1:6">
      <c r="A845" t="str">
        <f>"T608-1"</f>
        <v>T608-1</v>
      </c>
      <c r="B845" t="str">
        <f>"VIA DELLA MAONA VICINO AL 5-"</f>
        <v>VIA DELLA MAONA VICINO AL 5-</v>
      </c>
      <c r="C845" t="str">
        <f t="shared" si="49"/>
        <v>3</v>
      </c>
      <c r="D845">
        <v>42</v>
      </c>
      <c r="E845" t="str">
        <f>"293"</f>
        <v>293</v>
      </c>
      <c r="F845" t="str">
        <f t="shared" si="50"/>
        <v>0000</v>
      </c>
    </row>
    <row r="846" spans="1:6">
      <c r="A846" t="str">
        <f>"T608-2"</f>
        <v>T608-2</v>
      </c>
      <c r="B846" t="str">
        <f>"VIA DELLA MAONA VICINO AL 5-"</f>
        <v>VIA DELLA MAONA VICINO AL 5-</v>
      </c>
      <c r="C846" t="str">
        <f t="shared" si="49"/>
        <v>3</v>
      </c>
      <c r="D846">
        <v>42</v>
      </c>
      <c r="E846" t="str">
        <f>"503"</f>
        <v>503</v>
      </c>
      <c r="F846" t="str">
        <f t="shared" si="50"/>
        <v>0000</v>
      </c>
    </row>
    <row r="847" spans="1:6">
      <c r="A847" t="str">
        <f>"T609-1"</f>
        <v>T609-1</v>
      </c>
      <c r="B847" t="str">
        <f>"VIA SAN CARLO DI CESE VICINO AL 59-"</f>
        <v>VIA SAN CARLO DI CESE VICINO AL 59-</v>
      </c>
      <c r="C847" t="str">
        <f t="shared" si="49"/>
        <v>3</v>
      </c>
      <c r="D847">
        <v>26</v>
      </c>
      <c r="E847" t="str">
        <f>"A"</f>
        <v>A</v>
      </c>
      <c r="F847" t="str">
        <f t="shared" si="50"/>
        <v>0000</v>
      </c>
    </row>
    <row r="848" spans="1:6">
      <c r="A848" t="str">
        <f>"T609-2"</f>
        <v>T609-2</v>
      </c>
      <c r="B848" t="str">
        <f>"VIA SAN CARLO DI CESE VICINO AL 59-"</f>
        <v>VIA SAN CARLO DI CESE VICINO AL 59-</v>
      </c>
      <c r="C848" t="str">
        <f t="shared" si="49"/>
        <v>3</v>
      </c>
      <c r="D848">
        <v>26</v>
      </c>
      <c r="E848" t="str">
        <f>"391"</f>
        <v>391</v>
      </c>
      <c r="F848" t="str">
        <f t="shared" si="50"/>
        <v>0000</v>
      </c>
    </row>
    <row r="849" spans="1:6">
      <c r="A849" t="str">
        <f>"T610-1"</f>
        <v>T610-1</v>
      </c>
      <c r="B849" t="str">
        <f t="shared" ref="B849:B857" si="52">"VIA LUIGI RIZZO VICINO AL 33-"</f>
        <v>VIA LUIGI RIZZO VICINO AL 33-</v>
      </c>
      <c r="C849" t="str">
        <f t="shared" si="49"/>
        <v>3</v>
      </c>
      <c r="D849">
        <v>41</v>
      </c>
      <c r="E849" t="str">
        <f>"547"</f>
        <v>547</v>
      </c>
      <c r="F849" t="str">
        <f t="shared" si="50"/>
        <v>0000</v>
      </c>
    </row>
    <row r="850" spans="1:6">
      <c r="A850" t="str">
        <f>"T610-2"</f>
        <v>T610-2</v>
      </c>
      <c r="B850" t="str">
        <f t="shared" si="52"/>
        <v>VIA LUIGI RIZZO VICINO AL 33-</v>
      </c>
      <c r="C850" t="str">
        <f t="shared" si="49"/>
        <v>3</v>
      </c>
      <c r="D850">
        <v>41</v>
      </c>
      <c r="E850" t="str">
        <f>"548"</f>
        <v>548</v>
      </c>
      <c r="F850" t="str">
        <f t="shared" si="50"/>
        <v>0000</v>
      </c>
    </row>
    <row r="851" spans="1:6">
      <c r="A851" t="str">
        <f>"T610-3"</f>
        <v>T610-3</v>
      </c>
      <c r="B851" t="str">
        <f t="shared" si="52"/>
        <v>VIA LUIGI RIZZO VICINO AL 33-</v>
      </c>
      <c r="C851" t="str">
        <f t="shared" si="49"/>
        <v>3</v>
      </c>
      <c r="D851">
        <v>41</v>
      </c>
      <c r="E851" t="str">
        <f>"550"</f>
        <v>550</v>
      </c>
      <c r="F851" t="str">
        <f t="shared" si="50"/>
        <v>0000</v>
      </c>
    </row>
    <row r="852" spans="1:6">
      <c r="A852" t="str">
        <f>"T610-4"</f>
        <v>T610-4</v>
      </c>
      <c r="B852" t="str">
        <f t="shared" si="52"/>
        <v>VIA LUIGI RIZZO VICINO AL 33-</v>
      </c>
      <c r="C852" t="str">
        <f t="shared" si="49"/>
        <v>3</v>
      </c>
      <c r="D852">
        <v>41</v>
      </c>
      <c r="E852" t="str">
        <f>"551"</f>
        <v>551</v>
      </c>
      <c r="F852" t="str">
        <f t="shared" si="50"/>
        <v>0000</v>
      </c>
    </row>
    <row r="853" spans="1:6">
      <c r="A853" t="str">
        <f>"T610-5"</f>
        <v>T610-5</v>
      </c>
      <c r="B853" t="str">
        <f t="shared" si="52"/>
        <v>VIA LUIGI RIZZO VICINO AL 33-</v>
      </c>
      <c r="C853" t="str">
        <f t="shared" si="49"/>
        <v>3</v>
      </c>
      <c r="D853">
        <v>41</v>
      </c>
      <c r="E853" t="str">
        <f>"552"</f>
        <v>552</v>
      </c>
      <c r="F853" t="str">
        <f t="shared" si="50"/>
        <v>0000</v>
      </c>
    </row>
    <row r="854" spans="1:6">
      <c r="A854" t="str">
        <f>"T610-6"</f>
        <v>T610-6</v>
      </c>
      <c r="B854" t="str">
        <f t="shared" si="52"/>
        <v>VIA LUIGI RIZZO VICINO AL 33-</v>
      </c>
      <c r="C854" t="str">
        <f t="shared" si="49"/>
        <v>3</v>
      </c>
      <c r="D854">
        <v>41</v>
      </c>
      <c r="E854" t="str">
        <f>"553"</f>
        <v>553</v>
      </c>
      <c r="F854" t="str">
        <f t="shared" si="50"/>
        <v>0000</v>
      </c>
    </row>
    <row r="855" spans="1:6">
      <c r="A855" t="str">
        <f>"T610-7"</f>
        <v>T610-7</v>
      </c>
      <c r="B855" t="str">
        <f t="shared" si="52"/>
        <v>VIA LUIGI RIZZO VICINO AL 33-</v>
      </c>
      <c r="C855" t="str">
        <f t="shared" si="49"/>
        <v>3</v>
      </c>
      <c r="D855">
        <v>41</v>
      </c>
      <c r="E855" t="str">
        <f>"555"</f>
        <v>555</v>
      </c>
      <c r="F855" t="str">
        <f t="shared" si="50"/>
        <v>0000</v>
      </c>
    </row>
    <row r="856" spans="1:6">
      <c r="A856" t="str">
        <f>"T610-8"</f>
        <v>T610-8</v>
      </c>
      <c r="B856" t="str">
        <f t="shared" si="52"/>
        <v>VIA LUIGI RIZZO VICINO AL 33-</v>
      </c>
      <c r="C856" t="str">
        <f t="shared" si="49"/>
        <v>3</v>
      </c>
      <c r="D856">
        <v>41</v>
      </c>
      <c r="E856" t="str">
        <f>"558"</f>
        <v>558</v>
      </c>
      <c r="F856" t="str">
        <f t="shared" si="50"/>
        <v>0000</v>
      </c>
    </row>
    <row r="857" spans="1:6">
      <c r="A857" t="str">
        <f>"T610-9"</f>
        <v>T610-9</v>
      </c>
      <c r="B857" t="str">
        <f t="shared" si="52"/>
        <v>VIA LUIGI RIZZO VICINO AL 33-</v>
      </c>
      <c r="C857" t="str">
        <f t="shared" si="49"/>
        <v>3</v>
      </c>
      <c r="D857">
        <v>41</v>
      </c>
      <c r="E857" t="str">
        <f>"559"</f>
        <v>559</v>
      </c>
      <c r="F857" t="str">
        <f t="shared" si="50"/>
        <v>0000</v>
      </c>
    </row>
    <row r="858" spans="1:6">
      <c r="A858" t="str">
        <f>"T611-1"</f>
        <v>T611-1</v>
      </c>
      <c r="B858" t="str">
        <f>"VIA SABOTINO VICINO AL 14-"</f>
        <v>VIA SABOTINO VICINO AL 14-</v>
      </c>
      <c r="C858" t="str">
        <f t="shared" si="49"/>
        <v>3</v>
      </c>
      <c r="D858">
        <v>45</v>
      </c>
      <c r="E858" t="str">
        <f>"563"</f>
        <v>563</v>
      </c>
      <c r="F858" t="str">
        <f t="shared" si="50"/>
        <v>0000</v>
      </c>
    </row>
    <row r="859" spans="1:6">
      <c r="A859" t="str">
        <f>"T611-2"</f>
        <v>T611-2</v>
      </c>
      <c r="B859" t="str">
        <f>"VIA SABOTINO VICINO AL 14-"</f>
        <v>VIA SABOTINO VICINO AL 14-</v>
      </c>
      <c r="C859" t="str">
        <f t="shared" si="49"/>
        <v>3</v>
      </c>
      <c r="D859">
        <v>45</v>
      </c>
      <c r="E859" t="str">
        <f>"585"</f>
        <v>585</v>
      </c>
      <c r="F859" t="str">
        <f t="shared" si="50"/>
        <v>0000</v>
      </c>
    </row>
    <row r="860" spans="1:6">
      <c r="A860" t="str">
        <f>"T611-3"</f>
        <v>T611-3</v>
      </c>
      <c r="B860" t="str">
        <f>"VIA SABOTINO VICINO AL 14-"</f>
        <v>VIA SABOTINO VICINO AL 14-</v>
      </c>
      <c r="C860" t="str">
        <f t="shared" si="49"/>
        <v>3</v>
      </c>
      <c r="D860">
        <v>45</v>
      </c>
      <c r="E860" t="str">
        <f>"258"</f>
        <v>258</v>
      </c>
      <c r="F860" t="str">
        <f t="shared" si="50"/>
        <v>0000</v>
      </c>
    </row>
    <row r="861" spans="1:6">
      <c r="A861" t="str">
        <f>"T613-1"</f>
        <v>T613-1</v>
      </c>
      <c r="B861" t="str">
        <f>"SALITA RAPALLI VICINO AL 2-"</f>
        <v>SALITA RAPALLI VICINO AL 2-</v>
      </c>
      <c r="C861" t="str">
        <f t="shared" si="49"/>
        <v>3</v>
      </c>
      <c r="D861">
        <v>44</v>
      </c>
      <c r="E861" t="str">
        <f>"221"</f>
        <v>221</v>
      </c>
      <c r="F861" t="str">
        <f t="shared" si="50"/>
        <v>0000</v>
      </c>
    </row>
    <row r="862" spans="1:6">
      <c r="A862" t="str">
        <f>"T625-1"</f>
        <v>T625-1</v>
      </c>
      <c r="B862" t="str">
        <f t="shared" ref="B862:B867" si="53">"P.ZA CRISTOFORO BONAVINO VICINO AL 7-"</f>
        <v>P.ZA CRISTOFORO BONAVINO VICINO AL 7-</v>
      </c>
      <c r="C862" t="str">
        <f t="shared" si="49"/>
        <v>3</v>
      </c>
      <c r="D862">
        <v>42</v>
      </c>
      <c r="E862" t="str">
        <f>"863"</f>
        <v>863</v>
      </c>
      <c r="F862" t="str">
        <f t="shared" si="50"/>
        <v>0000</v>
      </c>
    </row>
    <row r="863" spans="1:6">
      <c r="A863" t="str">
        <f>"T625-2"</f>
        <v>T625-2</v>
      </c>
      <c r="B863" t="str">
        <f t="shared" si="53"/>
        <v>P.ZA CRISTOFORO BONAVINO VICINO AL 7-</v>
      </c>
      <c r="C863" t="str">
        <f t="shared" si="49"/>
        <v>3</v>
      </c>
      <c r="D863">
        <v>42</v>
      </c>
      <c r="E863" t="str">
        <f>"865"</f>
        <v>865</v>
      </c>
      <c r="F863" t="str">
        <f t="shared" si="50"/>
        <v>0000</v>
      </c>
    </row>
    <row r="864" spans="1:6">
      <c r="A864" t="str">
        <f>"T625-3"</f>
        <v>T625-3</v>
      </c>
      <c r="B864" t="str">
        <f t="shared" si="53"/>
        <v>P.ZA CRISTOFORO BONAVINO VICINO AL 7-</v>
      </c>
      <c r="C864" t="str">
        <f t="shared" si="49"/>
        <v>3</v>
      </c>
      <c r="D864">
        <v>42</v>
      </c>
      <c r="E864" t="str">
        <f>"243"</f>
        <v>243</v>
      </c>
      <c r="F864" t="str">
        <f t="shared" si="50"/>
        <v>0000</v>
      </c>
    </row>
    <row r="865" spans="1:6">
      <c r="A865" t="str">
        <f>"T625-4"</f>
        <v>T625-4</v>
      </c>
      <c r="B865" t="str">
        <f t="shared" si="53"/>
        <v>P.ZA CRISTOFORO BONAVINO VICINO AL 7-</v>
      </c>
      <c r="C865" t="str">
        <f t="shared" si="49"/>
        <v>3</v>
      </c>
      <c r="D865">
        <v>42</v>
      </c>
      <c r="E865" t="str">
        <f>"244"</f>
        <v>244</v>
      </c>
      <c r="F865" t="str">
        <f t="shared" si="50"/>
        <v>0000</v>
      </c>
    </row>
    <row r="866" spans="1:6">
      <c r="A866" t="str">
        <f>"T625-5"</f>
        <v>T625-5</v>
      </c>
      <c r="B866" t="str">
        <f t="shared" si="53"/>
        <v>P.ZA CRISTOFORO BONAVINO VICINO AL 7-</v>
      </c>
      <c r="C866" t="str">
        <f t="shared" si="49"/>
        <v>3</v>
      </c>
      <c r="D866">
        <v>42</v>
      </c>
      <c r="E866" t="str">
        <f>"868"</f>
        <v>868</v>
      </c>
      <c r="F866" t="str">
        <f t="shared" si="50"/>
        <v>0000</v>
      </c>
    </row>
    <row r="867" spans="1:6">
      <c r="A867" t="str">
        <f>"T625-6"</f>
        <v>T625-6</v>
      </c>
      <c r="B867" t="str">
        <f t="shared" si="53"/>
        <v>P.ZA CRISTOFORO BONAVINO VICINO AL 7-</v>
      </c>
      <c r="C867" t="str">
        <f t="shared" si="49"/>
        <v>3</v>
      </c>
      <c r="D867">
        <v>42</v>
      </c>
      <c r="E867" t="str">
        <f>"99999"</f>
        <v>99999</v>
      </c>
      <c r="F867" t="str">
        <f t="shared" si="50"/>
        <v>0000</v>
      </c>
    </row>
    <row r="868" spans="1:6">
      <c r="A868" t="str">
        <f>"T626-1"</f>
        <v>T626-1</v>
      </c>
      <c r="B868" t="str">
        <f t="shared" ref="B868:B879" si="54">"VIA IGNAZIO PALLAVICINI VICINO AL 11-"</f>
        <v>VIA IGNAZIO PALLAVICINI VICINO AL 11-</v>
      </c>
      <c r="C868" t="str">
        <f t="shared" si="49"/>
        <v>3</v>
      </c>
      <c r="D868">
        <v>42</v>
      </c>
      <c r="E868" t="str">
        <f>"184"</f>
        <v>184</v>
      </c>
      <c r="F868" t="str">
        <f t="shared" si="50"/>
        <v>0000</v>
      </c>
    </row>
    <row r="869" spans="1:6">
      <c r="A869" t="str">
        <f>"T626-2"</f>
        <v>T626-2</v>
      </c>
      <c r="B869" t="str">
        <f t="shared" si="54"/>
        <v>VIA IGNAZIO PALLAVICINI VICINO AL 11-</v>
      </c>
      <c r="C869" t="str">
        <f t="shared" si="49"/>
        <v>3</v>
      </c>
      <c r="D869">
        <v>42</v>
      </c>
      <c r="E869" t="str">
        <f>"187"</f>
        <v>187</v>
      </c>
      <c r="F869" t="str">
        <f t="shared" si="50"/>
        <v>0000</v>
      </c>
    </row>
    <row r="870" spans="1:6">
      <c r="A870" t="str">
        <f>"T626-3"</f>
        <v>T626-3</v>
      </c>
      <c r="B870" t="str">
        <f t="shared" si="54"/>
        <v>VIA IGNAZIO PALLAVICINI VICINO AL 11-</v>
      </c>
      <c r="C870" t="str">
        <f t="shared" si="49"/>
        <v>3</v>
      </c>
      <c r="D870">
        <v>42</v>
      </c>
      <c r="E870" t="str">
        <f>"196"</f>
        <v>196</v>
      </c>
      <c r="F870" t="str">
        <f t="shared" si="50"/>
        <v>0000</v>
      </c>
    </row>
    <row r="871" spans="1:6">
      <c r="A871" t="str">
        <f>"T626-4"</f>
        <v>T626-4</v>
      </c>
      <c r="B871" t="str">
        <f t="shared" si="54"/>
        <v>VIA IGNAZIO PALLAVICINI VICINO AL 11-</v>
      </c>
      <c r="C871" t="str">
        <f t="shared" si="49"/>
        <v>3</v>
      </c>
      <c r="D871">
        <v>42</v>
      </c>
      <c r="E871" t="str">
        <f>"197"</f>
        <v>197</v>
      </c>
      <c r="F871" t="str">
        <f t="shared" si="50"/>
        <v>0000</v>
      </c>
    </row>
    <row r="872" spans="1:6">
      <c r="A872" t="str">
        <f>"T626-5"</f>
        <v>T626-5</v>
      </c>
      <c r="B872" t="str">
        <f t="shared" si="54"/>
        <v>VIA IGNAZIO PALLAVICINI VICINO AL 11-</v>
      </c>
      <c r="C872" t="str">
        <f t="shared" si="49"/>
        <v>3</v>
      </c>
      <c r="D872">
        <v>42</v>
      </c>
      <c r="E872" t="str">
        <f>"276"</f>
        <v>276</v>
      </c>
      <c r="F872" t="str">
        <f t="shared" si="50"/>
        <v>0000</v>
      </c>
    </row>
    <row r="873" spans="1:6">
      <c r="A873" t="str">
        <f>"T626-6"</f>
        <v>T626-6</v>
      </c>
      <c r="B873" t="str">
        <f t="shared" si="54"/>
        <v>VIA IGNAZIO PALLAVICINI VICINO AL 11-</v>
      </c>
      <c r="C873" t="str">
        <f t="shared" si="49"/>
        <v>3</v>
      </c>
      <c r="D873">
        <v>42</v>
      </c>
      <c r="E873" t="str">
        <f>"277"</f>
        <v>277</v>
      </c>
      <c r="F873" t="str">
        <f t="shared" si="50"/>
        <v>0000</v>
      </c>
    </row>
    <row r="874" spans="1:6">
      <c r="A874" t="str">
        <f>"T626-7"</f>
        <v>T626-7</v>
      </c>
      <c r="B874" t="str">
        <f t="shared" si="54"/>
        <v>VIA IGNAZIO PALLAVICINI VICINO AL 11-</v>
      </c>
      <c r="C874" t="str">
        <f t="shared" si="49"/>
        <v>3</v>
      </c>
      <c r="D874">
        <v>42</v>
      </c>
      <c r="E874" t="str">
        <f>"279"</f>
        <v>279</v>
      </c>
      <c r="F874" t="str">
        <f t="shared" si="50"/>
        <v>0000</v>
      </c>
    </row>
    <row r="875" spans="1:6">
      <c r="A875" t="str">
        <f>"T626-8"</f>
        <v>T626-8</v>
      </c>
      <c r="B875" t="str">
        <f t="shared" si="54"/>
        <v>VIA IGNAZIO PALLAVICINI VICINO AL 11-</v>
      </c>
      <c r="C875" t="str">
        <f t="shared" si="49"/>
        <v>3</v>
      </c>
      <c r="D875">
        <v>42</v>
      </c>
      <c r="E875" t="str">
        <f>"280"</f>
        <v>280</v>
      </c>
      <c r="F875" t="str">
        <f t="shared" si="50"/>
        <v>0000</v>
      </c>
    </row>
    <row r="876" spans="1:6">
      <c r="A876" t="str">
        <f>"T626-9"</f>
        <v>T626-9</v>
      </c>
      <c r="B876" t="str">
        <f t="shared" si="54"/>
        <v>VIA IGNAZIO PALLAVICINI VICINO AL 11-</v>
      </c>
      <c r="C876" t="str">
        <f t="shared" si="49"/>
        <v>3</v>
      </c>
      <c r="D876">
        <v>42</v>
      </c>
      <c r="E876" t="str">
        <f>"464"</f>
        <v>464</v>
      </c>
      <c r="F876" t="str">
        <f t="shared" si="50"/>
        <v>0000</v>
      </c>
    </row>
    <row r="877" spans="1:6">
      <c r="A877" t="str">
        <f>"T626-10"</f>
        <v>T626-10</v>
      </c>
      <c r="B877" t="str">
        <f t="shared" si="54"/>
        <v>VIA IGNAZIO PALLAVICINI VICINO AL 11-</v>
      </c>
      <c r="C877" t="str">
        <f t="shared" si="49"/>
        <v>3</v>
      </c>
      <c r="D877">
        <v>42</v>
      </c>
      <c r="E877" t="str">
        <f>"310"</f>
        <v>310</v>
      </c>
      <c r="F877" t="str">
        <f t="shared" si="50"/>
        <v>0000</v>
      </c>
    </row>
    <row r="878" spans="1:6">
      <c r="A878" t="str">
        <f>"T626-11"</f>
        <v>T626-11</v>
      </c>
      <c r="B878" t="str">
        <f t="shared" si="54"/>
        <v>VIA IGNAZIO PALLAVICINI VICINO AL 11-</v>
      </c>
      <c r="C878" t="str">
        <f t="shared" si="49"/>
        <v>3</v>
      </c>
      <c r="D878">
        <v>45</v>
      </c>
      <c r="E878" t="str">
        <f>"347"</f>
        <v>347</v>
      </c>
      <c r="F878" t="str">
        <f t="shared" si="50"/>
        <v>0000</v>
      </c>
    </row>
    <row r="879" spans="1:6">
      <c r="A879" t="str">
        <f>"T626-12"</f>
        <v>T626-12</v>
      </c>
      <c r="B879" t="str">
        <f t="shared" si="54"/>
        <v>VIA IGNAZIO PALLAVICINI VICINO AL 11-</v>
      </c>
      <c r="C879" t="str">
        <f t="shared" si="49"/>
        <v>3</v>
      </c>
      <c r="D879">
        <v>45</v>
      </c>
      <c r="E879" t="str">
        <f>"345"</f>
        <v>345</v>
      </c>
      <c r="F879" t="str">
        <f t="shared" si="50"/>
        <v>0000</v>
      </c>
    </row>
    <row r="880" spans="1:6">
      <c r="A880" t="str">
        <f>"T627-1"</f>
        <v>T627-1</v>
      </c>
      <c r="B880" t="str">
        <f t="shared" ref="B880:B888" si="55">"VIA LAVIOSA VICINO AL 29-"</f>
        <v>VIA LAVIOSA VICINO AL 29-</v>
      </c>
      <c r="C880" t="str">
        <f t="shared" si="49"/>
        <v>3</v>
      </c>
      <c r="D880">
        <v>41</v>
      </c>
      <c r="E880" t="str">
        <f>"457"</f>
        <v>457</v>
      </c>
      <c r="F880" t="str">
        <f t="shared" si="50"/>
        <v>0000</v>
      </c>
    </row>
    <row r="881" spans="1:6">
      <c r="A881" t="str">
        <f>"T627-2"</f>
        <v>T627-2</v>
      </c>
      <c r="B881" t="str">
        <f t="shared" si="55"/>
        <v>VIA LAVIOSA VICINO AL 29-</v>
      </c>
      <c r="C881" t="str">
        <f t="shared" si="49"/>
        <v>3</v>
      </c>
      <c r="D881">
        <v>41</v>
      </c>
      <c r="E881" t="str">
        <f>"683"</f>
        <v>683</v>
      </c>
      <c r="F881" t="str">
        <f t="shared" si="50"/>
        <v>0000</v>
      </c>
    </row>
    <row r="882" spans="1:6">
      <c r="A882" t="str">
        <f>"T627-3"</f>
        <v>T627-3</v>
      </c>
      <c r="B882" t="str">
        <f t="shared" si="55"/>
        <v>VIA LAVIOSA VICINO AL 29-</v>
      </c>
      <c r="C882" t="str">
        <f t="shared" si="49"/>
        <v>3</v>
      </c>
      <c r="D882">
        <v>41</v>
      </c>
      <c r="E882" t="str">
        <f>"698"</f>
        <v>698</v>
      </c>
      <c r="F882" t="str">
        <f t="shared" si="50"/>
        <v>0000</v>
      </c>
    </row>
    <row r="883" spans="1:6">
      <c r="A883" t="str">
        <f>"T627-4"</f>
        <v>T627-4</v>
      </c>
      <c r="B883" t="str">
        <f t="shared" si="55"/>
        <v>VIA LAVIOSA VICINO AL 29-</v>
      </c>
      <c r="C883" t="str">
        <f t="shared" si="49"/>
        <v>3</v>
      </c>
      <c r="D883">
        <v>41</v>
      </c>
      <c r="E883" t="str">
        <f>"906"</f>
        <v>906</v>
      </c>
      <c r="F883" t="str">
        <f t="shared" si="50"/>
        <v>0000</v>
      </c>
    </row>
    <row r="884" spans="1:6">
      <c r="A884" t="str">
        <f>"T627-5"</f>
        <v>T627-5</v>
      </c>
      <c r="B884" t="str">
        <f t="shared" si="55"/>
        <v>VIA LAVIOSA VICINO AL 29-</v>
      </c>
      <c r="C884" t="str">
        <f t="shared" si="49"/>
        <v>3</v>
      </c>
      <c r="D884">
        <v>41</v>
      </c>
      <c r="E884" t="str">
        <f>"965"</f>
        <v>965</v>
      </c>
      <c r="F884" t="str">
        <f t="shared" si="50"/>
        <v>0000</v>
      </c>
    </row>
    <row r="885" spans="1:6">
      <c r="A885" t="str">
        <f>"T627-6"</f>
        <v>T627-6</v>
      </c>
      <c r="B885" t="str">
        <f t="shared" si="55"/>
        <v>VIA LAVIOSA VICINO AL 29-</v>
      </c>
      <c r="C885" t="str">
        <f t="shared" si="49"/>
        <v>3</v>
      </c>
      <c r="D885">
        <v>41</v>
      </c>
      <c r="E885" t="str">
        <f>"968"</f>
        <v>968</v>
      </c>
      <c r="F885" t="str">
        <f t="shared" si="50"/>
        <v>0000</v>
      </c>
    </row>
    <row r="886" spans="1:6">
      <c r="A886" t="str">
        <f>"T627-7"</f>
        <v>T627-7</v>
      </c>
      <c r="B886" t="str">
        <f t="shared" si="55"/>
        <v>VIA LAVIOSA VICINO AL 29-</v>
      </c>
      <c r="C886" t="str">
        <f t="shared" si="49"/>
        <v>3</v>
      </c>
      <c r="D886">
        <v>41</v>
      </c>
      <c r="E886" t="str">
        <f>"969"</f>
        <v>969</v>
      </c>
      <c r="F886" t="str">
        <f t="shared" si="50"/>
        <v>0000</v>
      </c>
    </row>
    <row r="887" spans="1:6">
      <c r="A887" t="str">
        <f>"T627-8"</f>
        <v>T627-8</v>
      </c>
      <c r="B887" t="str">
        <f t="shared" si="55"/>
        <v>VIA LAVIOSA VICINO AL 29-</v>
      </c>
      <c r="C887" t="str">
        <f t="shared" si="49"/>
        <v>3</v>
      </c>
      <c r="D887">
        <v>41</v>
      </c>
      <c r="E887" t="str">
        <f>"970"</f>
        <v>970</v>
      </c>
      <c r="F887" t="str">
        <f t="shared" si="50"/>
        <v>0000</v>
      </c>
    </row>
    <row r="888" spans="1:6">
      <c r="A888" t="str">
        <f>"T627-9"</f>
        <v>T627-9</v>
      </c>
      <c r="B888" t="str">
        <f t="shared" si="55"/>
        <v>VIA LAVIOSA VICINO AL 29-</v>
      </c>
      <c r="C888" t="str">
        <f t="shared" si="49"/>
        <v>3</v>
      </c>
      <c r="D888">
        <v>41</v>
      </c>
      <c r="E888" t="str">
        <f>"971"</f>
        <v>971</v>
      </c>
      <c r="F888" t="str">
        <f t="shared" si="50"/>
        <v>0000</v>
      </c>
    </row>
    <row r="889" spans="1:6">
      <c r="A889" t="str">
        <f>"T628-1"</f>
        <v>T628-1</v>
      </c>
      <c r="B889" t="str">
        <f>"VIA LAVIOSA VICINO AL 39-"</f>
        <v>VIA LAVIOSA VICINO AL 39-</v>
      </c>
      <c r="C889" t="str">
        <f>"PEG"</f>
        <v>PEG</v>
      </c>
      <c r="D889">
        <v>41</v>
      </c>
      <c r="E889" t="str">
        <f>"860"</f>
        <v>860</v>
      </c>
      <c r="F889" t="str">
        <f t="shared" si="50"/>
        <v>0000</v>
      </c>
    </row>
    <row r="890" spans="1:6">
      <c r="A890" t="str">
        <f>"T629-1"</f>
        <v>T629-1</v>
      </c>
      <c r="B890" t="str">
        <f t="shared" ref="B890:B949" si="56">"COMUNAGLIE DI PEGLI"</f>
        <v>COMUNAGLIE DI PEGLI</v>
      </c>
      <c r="C890" t="str">
        <f t="shared" ref="C890:C952" si="57">"3"</f>
        <v>3</v>
      </c>
      <c r="D890">
        <v>17</v>
      </c>
      <c r="E890" t="str">
        <f>"3"</f>
        <v>3</v>
      </c>
      <c r="F890" t="str">
        <f t="shared" si="50"/>
        <v>0000</v>
      </c>
    </row>
    <row r="891" spans="1:6">
      <c r="A891" t="str">
        <f>"T629-2"</f>
        <v>T629-2</v>
      </c>
      <c r="B891" t="str">
        <f t="shared" si="56"/>
        <v>COMUNAGLIE DI PEGLI</v>
      </c>
      <c r="C891" t="str">
        <f t="shared" si="57"/>
        <v>3</v>
      </c>
      <c r="D891">
        <v>17</v>
      </c>
      <c r="E891" t="str">
        <f>"4"</f>
        <v>4</v>
      </c>
      <c r="F891" t="str">
        <f t="shared" si="50"/>
        <v>0000</v>
      </c>
    </row>
    <row r="892" spans="1:6">
      <c r="A892" t="str">
        <f>"T629-3"</f>
        <v>T629-3</v>
      </c>
      <c r="B892" t="str">
        <f t="shared" si="56"/>
        <v>COMUNAGLIE DI PEGLI</v>
      </c>
      <c r="C892" t="str">
        <f t="shared" si="57"/>
        <v>3</v>
      </c>
      <c r="D892">
        <v>17</v>
      </c>
      <c r="E892" t="str">
        <f>"32"</f>
        <v>32</v>
      </c>
      <c r="F892" t="str">
        <f t="shared" si="50"/>
        <v>0000</v>
      </c>
    </row>
    <row r="893" spans="1:6">
      <c r="A893" t="str">
        <f>"T629-4"</f>
        <v>T629-4</v>
      </c>
      <c r="B893" t="str">
        <f t="shared" si="56"/>
        <v>COMUNAGLIE DI PEGLI</v>
      </c>
      <c r="C893" t="str">
        <f t="shared" si="57"/>
        <v>3</v>
      </c>
      <c r="D893">
        <v>17</v>
      </c>
      <c r="E893" t="str">
        <f>"33"</f>
        <v>33</v>
      </c>
      <c r="F893" t="str">
        <f t="shared" si="50"/>
        <v>0000</v>
      </c>
    </row>
    <row r="894" spans="1:6">
      <c r="A894" t="str">
        <f>"T629-5"</f>
        <v>T629-5</v>
      </c>
      <c r="B894" t="str">
        <f t="shared" si="56"/>
        <v>COMUNAGLIE DI PEGLI</v>
      </c>
      <c r="C894" t="str">
        <f t="shared" si="57"/>
        <v>3</v>
      </c>
      <c r="D894">
        <v>17</v>
      </c>
      <c r="E894" t="str">
        <f>"34"</f>
        <v>34</v>
      </c>
      <c r="F894" t="str">
        <f t="shared" si="50"/>
        <v>0000</v>
      </c>
    </row>
    <row r="895" spans="1:6">
      <c r="A895" t="str">
        <f>"T629-6"</f>
        <v>T629-6</v>
      </c>
      <c r="B895" t="str">
        <f t="shared" si="56"/>
        <v>COMUNAGLIE DI PEGLI</v>
      </c>
      <c r="C895" t="str">
        <f t="shared" si="57"/>
        <v>3</v>
      </c>
      <c r="D895">
        <v>18</v>
      </c>
      <c r="E895" t="str">
        <f>"1"</f>
        <v>1</v>
      </c>
      <c r="F895" t="str">
        <f t="shared" si="50"/>
        <v>0000</v>
      </c>
    </row>
    <row r="896" spans="1:6">
      <c r="A896" t="str">
        <f>"T629-7"</f>
        <v>T629-7</v>
      </c>
      <c r="B896" t="str">
        <f t="shared" si="56"/>
        <v>COMUNAGLIE DI PEGLI</v>
      </c>
      <c r="C896" t="str">
        <f t="shared" si="57"/>
        <v>3</v>
      </c>
      <c r="D896">
        <v>18</v>
      </c>
      <c r="E896" t="str">
        <f>"2"</f>
        <v>2</v>
      </c>
      <c r="F896" t="str">
        <f t="shared" si="50"/>
        <v>0000</v>
      </c>
    </row>
    <row r="897" spans="1:6">
      <c r="A897" t="str">
        <f>"T629-8"</f>
        <v>T629-8</v>
      </c>
      <c r="B897" t="str">
        <f t="shared" si="56"/>
        <v>COMUNAGLIE DI PEGLI</v>
      </c>
      <c r="C897" t="str">
        <f t="shared" si="57"/>
        <v>3</v>
      </c>
      <c r="D897">
        <v>18</v>
      </c>
      <c r="E897" t="str">
        <f>"12"</f>
        <v>12</v>
      </c>
      <c r="F897" t="str">
        <f t="shared" si="50"/>
        <v>0000</v>
      </c>
    </row>
    <row r="898" spans="1:6">
      <c r="A898" t="str">
        <f>"T629-9"</f>
        <v>T629-9</v>
      </c>
      <c r="B898" t="str">
        <f t="shared" si="56"/>
        <v>COMUNAGLIE DI PEGLI</v>
      </c>
      <c r="C898" t="str">
        <f t="shared" si="57"/>
        <v>3</v>
      </c>
      <c r="D898">
        <v>18</v>
      </c>
      <c r="E898" t="str">
        <f>"16"</f>
        <v>16</v>
      </c>
      <c r="F898" t="str">
        <f t="shared" ref="F898:F961" si="58">"0000"</f>
        <v>0000</v>
      </c>
    </row>
    <row r="899" spans="1:6">
      <c r="A899" t="str">
        <f>"T629-10"</f>
        <v>T629-10</v>
      </c>
      <c r="B899" t="str">
        <f t="shared" si="56"/>
        <v>COMUNAGLIE DI PEGLI</v>
      </c>
      <c r="C899" t="str">
        <f t="shared" si="57"/>
        <v>3</v>
      </c>
      <c r="D899">
        <v>18</v>
      </c>
      <c r="E899" t="str">
        <f>"18"</f>
        <v>18</v>
      </c>
      <c r="F899" t="str">
        <f t="shared" si="58"/>
        <v>0000</v>
      </c>
    </row>
    <row r="900" spans="1:6">
      <c r="A900" t="str">
        <f>"T629-11"</f>
        <v>T629-11</v>
      </c>
      <c r="B900" t="str">
        <f t="shared" si="56"/>
        <v>COMUNAGLIE DI PEGLI</v>
      </c>
      <c r="C900" t="str">
        <f t="shared" si="57"/>
        <v>3</v>
      </c>
      <c r="D900">
        <v>18</v>
      </c>
      <c r="E900" t="str">
        <f>"19"</f>
        <v>19</v>
      </c>
      <c r="F900" t="str">
        <f t="shared" si="58"/>
        <v>0000</v>
      </c>
    </row>
    <row r="901" spans="1:6">
      <c r="A901" t="str">
        <f>"T629-12"</f>
        <v>T629-12</v>
      </c>
      <c r="B901" t="str">
        <f t="shared" si="56"/>
        <v>COMUNAGLIE DI PEGLI</v>
      </c>
      <c r="C901" t="str">
        <f t="shared" si="57"/>
        <v>3</v>
      </c>
      <c r="D901">
        <v>18</v>
      </c>
      <c r="E901" t="str">
        <f>"30"</f>
        <v>30</v>
      </c>
      <c r="F901" t="str">
        <f t="shared" si="58"/>
        <v>0000</v>
      </c>
    </row>
    <row r="902" spans="1:6">
      <c r="A902" t="str">
        <f>"T629-13"</f>
        <v>T629-13</v>
      </c>
      <c r="B902" t="str">
        <f t="shared" si="56"/>
        <v>COMUNAGLIE DI PEGLI</v>
      </c>
      <c r="C902" t="str">
        <f t="shared" si="57"/>
        <v>3</v>
      </c>
      <c r="D902">
        <v>18</v>
      </c>
      <c r="E902" t="str">
        <f>"31"</f>
        <v>31</v>
      </c>
      <c r="F902" t="str">
        <f t="shared" si="58"/>
        <v>0000</v>
      </c>
    </row>
    <row r="903" spans="1:6">
      <c r="A903" t="str">
        <f>"T629-14"</f>
        <v>T629-14</v>
      </c>
      <c r="B903" t="str">
        <f t="shared" si="56"/>
        <v>COMUNAGLIE DI PEGLI</v>
      </c>
      <c r="C903" t="str">
        <f t="shared" si="57"/>
        <v>3</v>
      </c>
      <c r="D903">
        <v>19</v>
      </c>
      <c r="E903" t="str">
        <f>"10"</f>
        <v>10</v>
      </c>
      <c r="F903" t="str">
        <f t="shared" si="58"/>
        <v>0000</v>
      </c>
    </row>
    <row r="904" spans="1:6">
      <c r="A904" t="str">
        <f>"T629-15"</f>
        <v>T629-15</v>
      </c>
      <c r="B904" t="str">
        <f t="shared" si="56"/>
        <v>COMUNAGLIE DI PEGLI</v>
      </c>
      <c r="C904" t="str">
        <f t="shared" si="57"/>
        <v>3</v>
      </c>
      <c r="D904">
        <v>19</v>
      </c>
      <c r="E904" t="str">
        <f>"11"</f>
        <v>11</v>
      </c>
      <c r="F904" t="str">
        <f t="shared" si="58"/>
        <v>0000</v>
      </c>
    </row>
    <row r="905" spans="1:6">
      <c r="A905" t="str">
        <f>"T629-16"</f>
        <v>T629-16</v>
      </c>
      <c r="B905" t="str">
        <f t="shared" si="56"/>
        <v>COMUNAGLIE DI PEGLI</v>
      </c>
      <c r="C905" t="str">
        <f t="shared" si="57"/>
        <v>3</v>
      </c>
      <c r="D905">
        <v>19</v>
      </c>
      <c r="E905" t="str">
        <f>"35"</f>
        <v>35</v>
      </c>
      <c r="F905" t="str">
        <f t="shared" si="58"/>
        <v>0000</v>
      </c>
    </row>
    <row r="906" spans="1:6">
      <c r="A906" t="str">
        <f>"T629-17"</f>
        <v>T629-17</v>
      </c>
      <c r="B906" t="str">
        <f t="shared" si="56"/>
        <v>COMUNAGLIE DI PEGLI</v>
      </c>
      <c r="C906" t="str">
        <f t="shared" si="57"/>
        <v>3</v>
      </c>
      <c r="D906">
        <v>19</v>
      </c>
      <c r="E906" t="str">
        <f>"36"</f>
        <v>36</v>
      </c>
      <c r="F906" t="str">
        <f t="shared" si="58"/>
        <v>0000</v>
      </c>
    </row>
    <row r="907" spans="1:6">
      <c r="A907" t="str">
        <f>"T629-18"</f>
        <v>T629-18</v>
      </c>
      <c r="B907" t="str">
        <f t="shared" si="56"/>
        <v>COMUNAGLIE DI PEGLI</v>
      </c>
      <c r="C907" t="str">
        <f t="shared" si="57"/>
        <v>3</v>
      </c>
      <c r="D907">
        <v>19</v>
      </c>
      <c r="E907" t="str">
        <f>"38"</f>
        <v>38</v>
      </c>
      <c r="F907" t="str">
        <f t="shared" si="58"/>
        <v>0000</v>
      </c>
    </row>
    <row r="908" spans="1:6">
      <c r="A908" t="str">
        <f>"T629-19"</f>
        <v>T629-19</v>
      </c>
      <c r="B908" t="str">
        <f t="shared" si="56"/>
        <v>COMUNAGLIE DI PEGLI</v>
      </c>
      <c r="C908" t="str">
        <f t="shared" si="57"/>
        <v>3</v>
      </c>
      <c r="D908">
        <v>19</v>
      </c>
      <c r="E908" t="str">
        <f>"39"</f>
        <v>39</v>
      </c>
      <c r="F908" t="str">
        <f t="shared" si="58"/>
        <v>0000</v>
      </c>
    </row>
    <row r="909" spans="1:6">
      <c r="A909" t="str">
        <f>"T629-20"</f>
        <v>T629-20</v>
      </c>
      <c r="B909" t="str">
        <f t="shared" si="56"/>
        <v>COMUNAGLIE DI PEGLI</v>
      </c>
      <c r="C909" t="str">
        <f t="shared" si="57"/>
        <v>3</v>
      </c>
      <c r="D909">
        <v>20</v>
      </c>
      <c r="E909" t="str">
        <f>"46"</f>
        <v>46</v>
      </c>
      <c r="F909" t="str">
        <f t="shared" si="58"/>
        <v>0000</v>
      </c>
    </row>
    <row r="910" spans="1:6">
      <c r="A910" t="str">
        <f>"T629-21"</f>
        <v>T629-21</v>
      </c>
      <c r="B910" t="str">
        <f t="shared" si="56"/>
        <v>COMUNAGLIE DI PEGLI</v>
      </c>
      <c r="C910" t="str">
        <f t="shared" si="57"/>
        <v>3</v>
      </c>
      <c r="D910">
        <v>20</v>
      </c>
      <c r="E910" t="str">
        <f>"90"</f>
        <v>90</v>
      </c>
      <c r="F910" t="str">
        <f t="shared" si="58"/>
        <v>0000</v>
      </c>
    </row>
    <row r="911" spans="1:6">
      <c r="A911" t="str">
        <f>"T629-22"</f>
        <v>T629-22</v>
      </c>
      <c r="B911" t="str">
        <f t="shared" si="56"/>
        <v>COMUNAGLIE DI PEGLI</v>
      </c>
      <c r="C911" t="str">
        <f t="shared" si="57"/>
        <v>3</v>
      </c>
      <c r="D911">
        <v>20</v>
      </c>
      <c r="E911" t="str">
        <f>"105"</f>
        <v>105</v>
      </c>
      <c r="F911" t="str">
        <f t="shared" si="58"/>
        <v>0000</v>
      </c>
    </row>
    <row r="912" spans="1:6">
      <c r="A912" t="str">
        <f>"T629-23"</f>
        <v>T629-23</v>
      </c>
      <c r="B912" t="str">
        <f t="shared" si="56"/>
        <v>COMUNAGLIE DI PEGLI</v>
      </c>
      <c r="C912" t="str">
        <f t="shared" si="57"/>
        <v>3</v>
      </c>
      <c r="D912">
        <v>20</v>
      </c>
      <c r="E912" t="str">
        <f>"128"</f>
        <v>128</v>
      </c>
      <c r="F912" t="str">
        <f t="shared" si="58"/>
        <v>0000</v>
      </c>
    </row>
    <row r="913" spans="1:6">
      <c r="A913" t="str">
        <f>"T629-24"</f>
        <v>T629-24</v>
      </c>
      <c r="B913" t="str">
        <f t="shared" si="56"/>
        <v>COMUNAGLIE DI PEGLI</v>
      </c>
      <c r="C913" t="str">
        <f t="shared" si="57"/>
        <v>3</v>
      </c>
      <c r="D913">
        <v>20</v>
      </c>
      <c r="E913" t="str">
        <f>"132"</f>
        <v>132</v>
      </c>
      <c r="F913" t="str">
        <f t="shared" si="58"/>
        <v>0000</v>
      </c>
    </row>
    <row r="914" spans="1:6">
      <c r="A914" t="str">
        <f>"T629-25"</f>
        <v>T629-25</v>
      </c>
      <c r="B914" t="str">
        <f t="shared" si="56"/>
        <v>COMUNAGLIE DI PEGLI</v>
      </c>
      <c r="C914" t="str">
        <f t="shared" si="57"/>
        <v>3</v>
      </c>
      <c r="D914">
        <v>20</v>
      </c>
      <c r="E914" t="str">
        <f>"301"</f>
        <v>301</v>
      </c>
      <c r="F914" t="str">
        <f t="shared" si="58"/>
        <v>0000</v>
      </c>
    </row>
    <row r="915" spans="1:6">
      <c r="A915" t="str">
        <f>"T629-26"</f>
        <v>T629-26</v>
      </c>
      <c r="B915" t="str">
        <f t="shared" si="56"/>
        <v>COMUNAGLIE DI PEGLI</v>
      </c>
      <c r="C915" t="str">
        <f t="shared" si="57"/>
        <v>3</v>
      </c>
      <c r="D915">
        <v>20</v>
      </c>
      <c r="E915" t="str">
        <f>"302"</f>
        <v>302</v>
      </c>
      <c r="F915" t="str">
        <f t="shared" si="58"/>
        <v>0000</v>
      </c>
    </row>
    <row r="916" spans="1:6">
      <c r="A916" t="str">
        <f>"T629-27"</f>
        <v>T629-27</v>
      </c>
      <c r="B916" t="str">
        <f t="shared" si="56"/>
        <v>COMUNAGLIE DI PEGLI</v>
      </c>
      <c r="C916" t="str">
        <f t="shared" si="57"/>
        <v>3</v>
      </c>
      <c r="D916">
        <v>20</v>
      </c>
      <c r="E916" t="str">
        <f>"303"</f>
        <v>303</v>
      </c>
      <c r="F916" t="str">
        <f t="shared" si="58"/>
        <v>0000</v>
      </c>
    </row>
    <row r="917" spans="1:6">
      <c r="A917" t="str">
        <f>"T629-28"</f>
        <v>T629-28</v>
      </c>
      <c r="B917" t="str">
        <f t="shared" si="56"/>
        <v>COMUNAGLIE DI PEGLI</v>
      </c>
      <c r="C917" t="str">
        <f t="shared" si="57"/>
        <v>3</v>
      </c>
      <c r="D917">
        <v>20</v>
      </c>
      <c r="E917" t="str">
        <f>"315"</f>
        <v>315</v>
      </c>
      <c r="F917" t="str">
        <f t="shared" si="58"/>
        <v>0000</v>
      </c>
    </row>
    <row r="918" spans="1:6">
      <c r="A918" t="str">
        <f>"T629-29"</f>
        <v>T629-29</v>
      </c>
      <c r="B918" t="str">
        <f t="shared" si="56"/>
        <v>COMUNAGLIE DI PEGLI</v>
      </c>
      <c r="C918" t="str">
        <f t="shared" si="57"/>
        <v>3</v>
      </c>
      <c r="D918">
        <v>20</v>
      </c>
      <c r="E918" t="str">
        <f>"316"</f>
        <v>316</v>
      </c>
      <c r="F918" t="str">
        <f t="shared" si="58"/>
        <v>0000</v>
      </c>
    </row>
    <row r="919" spans="1:6">
      <c r="A919" t="str">
        <f>"T629-30"</f>
        <v>T629-30</v>
      </c>
      <c r="B919" t="str">
        <f t="shared" si="56"/>
        <v>COMUNAGLIE DI PEGLI</v>
      </c>
      <c r="C919" t="str">
        <f t="shared" si="57"/>
        <v>3</v>
      </c>
      <c r="D919">
        <v>20</v>
      </c>
      <c r="E919" t="str">
        <f>"400"</f>
        <v>400</v>
      </c>
      <c r="F919" t="str">
        <f t="shared" si="58"/>
        <v>0000</v>
      </c>
    </row>
    <row r="920" spans="1:6">
      <c r="A920" t="str">
        <f>"T629-31"</f>
        <v>T629-31</v>
      </c>
      <c r="B920" t="str">
        <f t="shared" si="56"/>
        <v>COMUNAGLIE DI PEGLI</v>
      </c>
      <c r="C920" t="str">
        <f t="shared" si="57"/>
        <v>3</v>
      </c>
      <c r="D920">
        <v>21</v>
      </c>
      <c r="E920" t="str">
        <f>"116"</f>
        <v>116</v>
      </c>
      <c r="F920" t="str">
        <f t="shared" si="58"/>
        <v>0000</v>
      </c>
    </row>
    <row r="921" spans="1:6">
      <c r="A921" t="str">
        <f>"T629-32"</f>
        <v>T629-32</v>
      </c>
      <c r="B921" t="str">
        <f t="shared" si="56"/>
        <v>COMUNAGLIE DI PEGLI</v>
      </c>
      <c r="C921" t="str">
        <f t="shared" si="57"/>
        <v>3</v>
      </c>
      <c r="D921">
        <v>21</v>
      </c>
      <c r="E921" t="str">
        <f>"118"</f>
        <v>118</v>
      </c>
      <c r="F921" t="str">
        <f t="shared" si="58"/>
        <v>0000</v>
      </c>
    </row>
    <row r="922" spans="1:6">
      <c r="A922" t="str">
        <f>"T629-33"</f>
        <v>T629-33</v>
      </c>
      <c r="B922" t="str">
        <f t="shared" si="56"/>
        <v>COMUNAGLIE DI PEGLI</v>
      </c>
      <c r="C922" t="str">
        <f t="shared" si="57"/>
        <v>3</v>
      </c>
      <c r="D922">
        <v>21</v>
      </c>
      <c r="E922" t="str">
        <f>"189"</f>
        <v>189</v>
      </c>
      <c r="F922" t="str">
        <f t="shared" si="58"/>
        <v>0000</v>
      </c>
    </row>
    <row r="923" spans="1:6">
      <c r="A923" t="str">
        <f>"T629-34"</f>
        <v>T629-34</v>
      </c>
      <c r="B923" t="str">
        <f t="shared" si="56"/>
        <v>COMUNAGLIE DI PEGLI</v>
      </c>
      <c r="C923" t="str">
        <f t="shared" si="57"/>
        <v>3</v>
      </c>
      <c r="D923">
        <v>21</v>
      </c>
      <c r="E923" t="str">
        <f>"192"</f>
        <v>192</v>
      </c>
      <c r="F923" t="str">
        <f t="shared" si="58"/>
        <v>0000</v>
      </c>
    </row>
    <row r="924" spans="1:6">
      <c r="A924" t="str">
        <f>"T629-35"</f>
        <v>T629-35</v>
      </c>
      <c r="B924" t="str">
        <f t="shared" si="56"/>
        <v>COMUNAGLIE DI PEGLI</v>
      </c>
      <c r="C924" t="str">
        <f t="shared" si="57"/>
        <v>3</v>
      </c>
      <c r="D924">
        <v>21</v>
      </c>
      <c r="E924" t="str">
        <f>"195"</f>
        <v>195</v>
      </c>
      <c r="F924" t="str">
        <f t="shared" si="58"/>
        <v>0000</v>
      </c>
    </row>
    <row r="925" spans="1:6">
      <c r="A925" t="str">
        <f>"T629-36"</f>
        <v>T629-36</v>
      </c>
      <c r="B925" t="str">
        <f t="shared" si="56"/>
        <v>COMUNAGLIE DI PEGLI</v>
      </c>
      <c r="C925" t="str">
        <f t="shared" si="57"/>
        <v>3</v>
      </c>
      <c r="D925">
        <v>21</v>
      </c>
      <c r="E925" t="str">
        <f>"271"</f>
        <v>271</v>
      </c>
      <c r="F925" t="str">
        <f t="shared" si="58"/>
        <v>0000</v>
      </c>
    </row>
    <row r="926" spans="1:6">
      <c r="A926" t="str">
        <f>"T629-37"</f>
        <v>T629-37</v>
      </c>
      <c r="B926" t="str">
        <f t="shared" si="56"/>
        <v>COMUNAGLIE DI PEGLI</v>
      </c>
      <c r="C926" t="str">
        <f t="shared" si="57"/>
        <v>3</v>
      </c>
      <c r="D926">
        <v>21</v>
      </c>
      <c r="E926" t="str">
        <f>"272"</f>
        <v>272</v>
      </c>
      <c r="F926" t="str">
        <f t="shared" si="58"/>
        <v>0000</v>
      </c>
    </row>
    <row r="927" spans="1:6">
      <c r="A927" t="str">
        <f>"T629-38"</f>
        <v>T629-38</v>
      </c>
      <c r="B927" t="str">
        <f t="shared" si="56"/>
        <v>COMUNAGLIE DI PEGLI</v>
      </c>
      <c r="C927" t="str">
        <f t="shared" si="57"/>
        <v>3</v>
      </c>
      <c r="D927">
        <v>21</v>
      </c>
      <c r="E927" t="str">
        <f>"275"</f>
        <v>275</v>
      </c>
      <c r="F927" t="str">
        <f t="shared" si="58"/>
        <v>0000</v>
      </c>
    </row>
    <row r="928" spans="1:6">
      <c r="A928" t="str">
        <f>"T629-39"</f>
        <v>T629-39</v>
      </c>
      <c r="B928" t="str">
        <f t="shared" si="56"/>
        <v>COMUNAGLIE DI PEGLI</v>
      </c>
      <c r="C928" t="str">
        <f t="shared" si="57"/>
        <v>3</v>
      </c>
      <c r="D928">
        <v>21</v>
      </c>
      <c r="E928" t="str">
        <f>"277"</f>
        <v>277</v>
      </c>
      <c r="F928" t="str">
        <f t="shared" si="58"/>
        <v>0000</v>
      </c>
    </row>
    <row r="929" spans="1:6">
      <c r="A929" t="str">
        <f>"T629-40"</f>
        <v>T629-40</v>
      </c>
      <c r="B929" t="str">
        <f t="shared" si="56"/>
        <v>COMUNAGLIE DI PEGLI</v>
      </c>
      <c r="C929" t="str">
        <f t="shared" si="57"/>
        <v>3</v>
      </c>
      <c r="D929">
        <v>24</v>
      </c>
      <c r="E929" t="str">
        <f>"220"</f>
        <v>220</v>
      </c>
      <c r="F929" t="str">
        <f t="shared" si="58"/>
        <v>0000</v>
      </c>
    </row>
    <row r="930" spans="1:6">
      <c r="A930" t="str">
        <f>"T629-41"</f>
        <v>T629-41</v>
      </c>
      <c r="B930" t="str">
        <f t="shared" si="56"/>
        <v>COMUNAGLIE DI PEGLI</v>
      </c>
      <c r="C930" t="str">
        <f t="shared" si="57"/>
        <v>3</v>
      </c>
      <c r="D930">
        <v>24</v>
      </c>
      <c r="E930" t="str">
        <f>"283"</f>
        <v>283</v>
      </c>
      <c r="F930" t="str">
        <f t="shared" si="58"/>
        <v>0000</v>
      </c>
    </row>
    <row r="931" spans="1:6">
      <c r="A931" t="str">
        <f>"T629-42"</f>
        <v>T629-42</v>
      </c>
      <c r="B931" t="str">
        <f t="shared" si="56"/>
        <v>COMUNAGLIE DI PEGLI</v>
      </c>
      <c r="C931" t="str">
        <f t="shared" si="57"/>
        <v>3</v>
      </c>
      <c r="D931">
        <v>24</v>
      </c>
      <c r="E931" t="str">
        <f>"284"</f>
        <v>284</v>
      </c>
      <c r="F931" t="str">
        <f t="shared" si="58"/>
        <v>0000</v>
      </c>
    </row>
    <row r="932" spans="1:6">
      <c r="A932" t="str">
        <f>"T629-43"</f>
        <v>T629-43</v>
      </c>
      <c r="B932" t="str">
        <f t="shared" si="56"/>
        <v>COMUNAGLIE DI PEGLI</v>
      </c>
      <c r="C932" t="str">
        <f t="shared" si="57"/>
        <v>3</v>
      </c>
      <c r="D932">
        <v>24</v>
      </c>
      <c r="E932" t="str">
        <f>"285"</f>
        <v>285</v>
      </c>
      <c r="F932" t="str">
        <f t="shared" si="58"/>
        <v>0000</v>
      </c>
    </row>
    <row r="933" spans="1:6">
      <c r="A933" t="str">
        <f>"T629-44"</f>
        <v>T629-44</v>
      </c>
      <c r="B933" t="str">
        <f t="shared" si="56"/>
        <v>COMUNAGLIE DI PEGLI</v>
      </c>
      <c r="C933" t="str">
        <f t="shared" si="57"/>
        <v>3</v>
      </c>
      <c r="D933">
        <v>25</v>
      </c>
      <c r="E933" t="str">
        <f>"18"</f>
        <v>18</v>
      </c>
      <c r="F933" t="str">
        <f t="shared" si="58"/>
        <v>0000</v>
      </c>
    </row>
    <row r="934" spans="1:6">
      <c r="A934" t="str">
        <f>"T629-45"</f>
        <v>T629-45</v>
      </c>
      <c r="B934" t="str">
        <f t="shared" si="56"/>
        <v>COMUNAGLIE DI PEGLI</v>
      </c>
      <c r="C934" t="str">
        <f t="shared" si="57"/>
        <v>3</v>
      </c>
      <c r="D934">
        <v>25</v>
      </c>
      <c r="E934" t="str">
        <f>"19"</f>
        <v>19</v>
      </c>
      <c r="F934" t="str">
        <f t="shared" si="58"/>
        <v>0000</v>
      </c>
    </row>
    <row r="935" spans="1:6">
      <c r="A935" t="str">
        <f>"T629-46"</f>
        <v>T629-46</v>
      </c>
      <c r="B935" t="str">
        <f t="shared" si="56"/>
        <v>COMUNAGLIE DI PEGLI</v>
      </c>
      <c r="C935" t="str">
        <f t="shared" si="57"/>
        <v>3</v>
      </c>
      <c r="D935">
        <v>25</v>
      </c>
      <c r="E935" t="str">
        <f>"32"</f>
        <v>32</v>
      </c>
      <c r="F935" t="str">
        <f t="shared" si="58"/>
        <v>0000</v>
      </c>
    </row>
    <row r="936" spans="1:6">
      <c r="A936" t="str">
        <f>"T629-47"</f>
        <v>T629-47</v>
      </c>
      <c r="B936" t="str">
        <f t="shared" si="56"/>
        <v>COMUNAGLIE DI PEGLI</v>
      </c>
      <c r="C936" t="str">
        <f t="shared" si="57"/>
        <v>3</v>
      </c>
      <c r="D936">
        <v>25</v>
      </c>
      <c r="E936" t="str">
        <f>"33"</f>
        <v>33</v>
      </c>
      <c r="F936" t="str">
        <f t="shared" si="58"/>
        <v>0000</v>
      </c>
    </row>
    <row r="937" spans="1:6">
      <c r="A937" t="str">
        <f>"T629-48"</f>
        <v>T629-48</v>
      </c>
      <c r="B937" t="str">
        <f t="shared" si="56"/>
        <v>COMUNAGLIE DI PEGLI</v>
      </c>
      <c r="C937" t="str">
        <f t="shared" si="57"/>
        <v>3</v>
      </c>
      <c r="D937">
        <v>25</v>
      </c>
      <c r="E937" t="str">
        <f>"54"</f>
        <v>54</v>
      </c>
      <c r="F937" t="str">
        <f t="shared" si="58"/>
        <v>0000</v>
      </c>
    </row>
    <row r="938" spans="1:6">
      <c r="A938" t="str">
        <f>"T629-49"</f>
        <v>T629-49</v>
      </c>
      <c r="B938" t="str">
        <f t="shared" si="56"/>
        <v>COMUNAGLIE DI PEGLI</v>
      </c>
      <c r="C938" t="str">
        <f t="shared" si="57"/>
        <v>3</v>
      </c>
      <c r="D938">
        <v>25</v>
      </c>
      <c r="E938" t="str">
        <f>"55"</f>
        <v>55</v>
      </c>
      <c r="F938" t="str">
        <f t="shared" si="58"/>
        <v>0000</v>
      </c>
    </row>
    <row r="939" spans="1:6">
      <c r="A939" t="str">
        <f>"T629-50"</f>
        <v>T629-50</v>
      </c>
      <c r="B939" t="str">
        <f t="shared" si="56"/>
        <v>COMUNAGLIE DI PEGLI</v>
      </c>
      <c r="C939" t="str">
        <f t="shared" si="57"/>
        <v>3</v>
      </c>
      <c r="D939">
        <v>25</v>
      </c>
      <c r="E939" t="str">
        <f>"56"</f>
        <v>56</v>
      </c>
      <c r="F939" t="str">
        <f t="shared" si="58"/>
        <v>0000</v>
      </c>
    </row>
    <row r="940" spans="1:6">
      <c r="A940" t="str">
        <f>"T629-51"</f>
        <v>T629-51</v>
      </c>
      <c r="B940" t="str">
        <f t="shared" si="56"/>
        <v>COMUNAGLIE DI PEGLI</v>
      </c>
      <c r="C940" t="str">
        <f t="shared" si="57"/>
        <v>3</v>
      </c>
      <c r="D940">
        <v>25</v>
      </c>
      <c r="E940" t="str">
        <f>"67"</f>
        <v>67</v>
      </c>
      <c r="F940" t="str">
        <f t="shared" si="58"/>
        <v>0000</v>
      </c>
    </row>
    <row r="941" spans="1:6">
      <c r="A941" t="str">
        <f>"T629-52"</f>
        <v>T629-52</v>
      </c>
      <c r="B941" t="str">
        <f t="shared" si="56"/>
        <v>COMUNAGLIE DI PEGLI</v>
      </c>
      <c r="C941" t="str">
        <f t="shared" si="57"/>
        <v>3</v>
      </c>
      <c r="D941">
        <v>25</v>
      </c>
      <c r="E941" t="str">
        <f>"128"</f>
        <v>128</v>
      </c>
      <c r="F941" t="str">
        <f t="shared" si="58"/>
        <v>0000</v>
      </c>
    </row>
    <row r="942" spans="1:6">
      <c r="A942" t="str">
        <f>"T629-53"</f>
        <v>T629-53</v>
      </c>
      <c r="B942" t="str">
        <f t="shared" si="56"/>
        <v>COMUNAGLIE DI PEGLI</v>
      </c>
      <c r="C942" t="str">
        <f t="shared" si="57"/>
        <v>3</v>
      </c>
      <c r="D942">
        <v>26</v>
      </c>
      <c r="E942" t="str">
        <f>"224"</f>
        <v>224</v>
      </c>
      <c r="F942" t="str">
        <f t="shared" si="58"/>
        <v>0000</v>
      </c>
    </row>
    <row r="943" spans="1:6">
      <c r="A943" t="str">
        <f>"T629-54"</f>
        <v>T629-54</v>
      </c>
      <c r="B943" t="str">
        <f t="shared" si="56"/>
        <v>COMUNAGLIE DI PEGLI</v>
      </c>
      <c r="C943" t="str">
        <f t="shared" si="57"/>
        <v>3</v>
      </c>
      <c r="D943">
        <v>26</v>
      </c>
      <c r="E943" t="str">
        <f>"383"</f>
        <v>383</v>
      </c>
      <c r="F943" t="str">
        <f t="shared" si="58"/>
        <v>0000</v>
      </c>
    </row>
    <row r="944" spans="1:6">
      <c r="A944" t="str">
        <f>"T629-55"</f>
        <v>T629-55</v>
      </c>
      <c r="B944" t="str">
        <f t="shared" si="56"/>
        <v>COMUNAGLIE DI PEGLI</v>
      </c>
      <c r="C944" t="str">
        <f t="shared" si="57"/>
        <v>3</v>
      </c>
      <c r="D944">
        <v>26</v>
      </c>
      <c r="E944" t="str">
        <f>"421"</f>
        <v>421</v>
      </c>
      <c r="F944" t="str">
        <f t="shared" si="58"/>
        <v>0000</v>
      </c>
    </row>
    <row r="945" spans="1:6">
      <c r="A945" t="str">
        <f>"T629-56"</f>
        <v>T629-56</v>
      </c>
      <c r="B945" t="str">
        <f t="shared" si="56"/>
        <v>COMUNAGLIE DI PEGLI</v>
      </c>
      <c r="C945" t="str">
        <f t="shared" si="57"/>
        <v>3</v>
      </c>
      <c r="D945">
        <v>28</v>
      </c>
      <c r="E945" t="str">
        <f>"1"</f>
        <v>1</v>
      </c>
      <c r="F945" t="str">
        <f t="shared" si="58"/>
        <v>0000</v>
      </c>
    </row>
    <row r="946" spans="1:6">
      <c r="A946" t="str">
        <f>"T629-57"</f>
        <v>T629-57</v>
      </c>
      <c r="B946" t="str">
        <f t="shared" si="56"/>
        <v>COMUNAGLIE DI PEGLI</v>
      </c>
      <c r="C946" t="str">
        <f t="shared" si="57"/>
        <v>3</v>
      </c>
      <c r="D946">
        <v>28</v>
      </c>
      <c r="E946" t="str">
        <f>"11"</f>
        <v>11</v>
      </c>
      <c r="F946" t="str">
        <f t="shared" si="58"/>
        <v>0000</v>
      </c>
    </row>
    <row r="947" spans="1:6">
      <c r="A947" t="str">
        <f>"T629-58"</f>
        <v>T629-58</v>
      </c>
      <c r="B947" t="str">
        <f t="shared" si="56"/>
        <v>COMUNAGLIE DI PEGLI</v>
      </c>
      <c r="C947" t="str">
        <f t="shared" si="57"/>
        <v>3</v>
      </c>
      <c r="D947">
        <v>28</v>
      </c>
      <c r="E947" t="str">
        <f>"14"</f>
        <v>14</v>
      </c>
      <c r="F947" t="str">
        <f t="shared" si="58"/>
        <v>0000</v>
      </c>
    </row>
    <row r="948" spans="1:6">
      <c r="A948" t="str">
        <f>"T629-59"</f>
        <v>T629-59</v>
      </c>
      <c r="B948" t="str">
        <f t="shared" si="56"/>
        <v>COMUNAGLIE DI PEGLI</v>
      </c>
      <c r="C948" t="str">
        <f t="shared" si="57"/>
        <v>3</v>
      </c>
      <c r="D948">
        <v>28</v>
      </c>
      <c r="E948" t="str">
        <f>"18"</f>
        <v>18</v>
      </c>
      <c r="F948" t="str">
        <f t="shared" si="58"/>
        <v>0000</v>
      </c>
    </row>
    <row r="949" spans="1:6">
      <c r="A949" t="str">
        <f>"T629-60"</f>
        <v>T629-60</v>
      </c>
      <c r="B949" t="str">
        <f t="shared" si="56"/>
        <v>COMUNAGLIE DI PEGLI</v>
      </c>
      <c r="C949" t="str">
        <f t="shared" si="57"/>
        <v>3</v>
      </c>
      <c r="D949">
        <v>31</v>
      </c>
      <c r="E949" t="str">
        <f>"31"</f>
        <v>31</v>
      </c>
      <c r="F949" t="str">
        <f t="shared" si="58"/>
        <v>0000</v>
      </c>
    </row>
    <row r="950" spans="1:6">
      <c r="A950" t="str">
        <f>"T648-1"</f>
        <v>T648-1</v>
      </c>
      <c r="B950" t="str">
        <f>"VIA ELIO VITTORINI VICINO AL 17-"</f>
        <v>VIA ELIO VITTORINI VICINO AL 17-</v>
      </c>
      <c r="C950" t="str">
        <f t="shared" si="57"/>
        <v>3</v>
      </c>
      <c r="D950">
        <v>8</v>
      </c>
      <c r="E950" t="str">
        <f>"532"</f>
        <v>532</v>
      </c>
      <c r="F950" t="str">
        <f t="shared" si="58"/>
        <v>0000</v>
      </c>
    </row>
    <row r="951" spans="1:6">
      <c r="A951" t="str">
        <f>"T648-2"</f>
        <v>T648-2</v>
      </c>
      <c r="B951" t="str">
        <f>"VIA ELIO VITTORINI VICINO AL 17-"</f>
        <v>VIA ELIO VITTORINI VICINO AL 17-</v>
      </c>
      <c r="C951" t="str">
        <f t="shared" si="57"/>
        <v>3</v>
      </c>
      <c r="D951">
        <v>8</v>
      </c>
      <c r="E951" t="str">
        <f>"533"</f>
        <v>533</v>
      </c>
      <c r="F951" t="str">
        <f t="shared" si="58"/>
        <v>0000</v>
      </c>
    </row>
    <row r="952" spans="1:6">
      <c r="A952" t="str">
        <f>"T649-1"</f>
        <v>T649-1</v>
      </c>
      <c r="B952" t="str">
        <f>"LUNGOMARE DI PEGLI VICINO AL 2R-"</f>
        <v>LUNGOMARE DI PEGLI VICINO AL 2R-</v>
      </c>
      <c r="C952" t="str">
        <f t="shared" si="57"/>
        <v>3</v>
      </c>
      <c r="D952">
        <v>45</v>
      </c>
      <c r="E952" t="str">
        <f>"519"</f>
        <v>519</v>
      </c>
      <c r="F952" t="str">
        <f t="shared" si="58"/>
        <v>0000</v>
      </c>
    </row>
    <row r="953" spans="1:6">
      <c r="A953" t="str">
        <f>"T651-1"</f>
        <v>T651-1</v>
      </c>
      <c r="B953" t="str">
        <f t="shared" ref="B953:B965" si="59">"VIA DEI GIOVI SUPERIORE VICINO AL 22-"</f>
        <v>VIA DEI GIOVI SUPERIORE VICINO AL 22-</v>
      </c>
      <c r="C953" t="str">
        <f t="shared" ref="C953:C966" si="60">"2"</f>
        <v>2</v>
      </c>
      <c r="D953">
        <v>21</v>
      </c>
      <c r="E953" t="str">
        <f>"496"</f>
        <v>496</v>
      </c>
      <c r="F953" t="str">
        <f t="shared" si="58"/>
        <v>0000</v>
      </c>
    </row>
    <row r="954" spans="1:6">
      <c r="A954" t="str">
        <f>"T651-2"</f>
        <v>T651-2</v>
      </c>
      <c r="B954" t="str">
        <f t="shared" si="59"/>
        <v>VIA DEI GIOVI SUPERIORE VICINO AL 22-</v>
      </c>
      <c r="C954" t="str">
        <f t="shared" si="60"/>
        <v>2</v>
      </c>
      <c r="D954">
        <v>21</v>
      </c>
      <c r="E954" t="str">
        <f>"497"</f>
        <v>497</v>
      </c>
      <c r="F954" t="str">
        <f t="shared" si="58"/>
        <v>0000</v>
      </c>
    </row>
    <row r="955" spans="1:6">
      <c r="A955" t="str">
        <f>"T651-3"</f>
        <v>T651-3</v>
      </c>
      <c r="B955" t="str">
        <f t="shared" si="59"/>
        <v>VIA DEI GIOVI SUPERIORE VICINO AL 22-</v>
      </c>
      <c r="C955" t="str">
        <f t="shared" si="60"/>
        <v>2</v>
      </c>
      <c r="D955">
        <v>21</v>
      </c>
      <c r="E955" t="str">
        <f>"500"</f>
        <v>500</v>
      </c>
      <c r="F955" t="str">
        <f t="shared" si="58"/>
        <v>0000</v>
      </c>
    </row>
    <row r="956" spans="1:6">
      <c r="A956" t="str">
        <f>"T651-4"</f>
        <v>T651-4</v>
      </c>
      <c r="B956" t="str">
        <f t="shared" si="59"/>
        <v>VIA DEI GIOVI SUPERIORE VICINO AL 22-</v>
      </c>
      <c r="C956" t="str">
        <f t="shared" si="60"/>
        <v>2</v>
      </c>
      <c r="D956">
        <v>21</v>
      </c>
      <c r="E956" t="str">
        <f>"501"</f>
        <v>501</v>
      </c>
      <c r="F956" t="str">
        <f t="shared" si="58"/>
        <v>0000</v>
      </c>
    </row>
    <row r="957" spans="1:6">
      <c r="A957" t="str">
        <f>"T651-5"</f>
        <v>T651-5</v>
      </c>
      <c r="B957" t="str">
        <f t="shared" si="59"/>
        <v>VIA DEI GIOVI SUPERIORE VICINO AL 22-</v>
      </c>
      <c r="C957" t="str">
        <f t="shared" si="60"/>
        <v>2</v>
      </c>
      <c r="D957">
        <v>21</v>
      </c>
      <c r="E957" t="str">
        <f>"502"</f>
        <v>502</v>
      </c>
      <c r="F957" t="str">
        <f t="shared" si="58"/>
        <v>0000</v>
      </c>
    </row>
    <row r="958" spans="1:6">
      <c r="A958" t="str">
        <f>"T651-6"</f>
        <v>T651-6</v>
      </c>
      <c r="B958" t="str">
        <f t="shared" si="59"/>
        <v>VIA DEI GIOVI SUPERIORE VICINO AL 22-</v>
      </c>
      <c r="C958" t="str">
        <f t="shared" si="60"/>
        <v>2</v>
      </c>
      <c r="D958">
        <v>21</v>
      </c>
      <c r="E958" t="str">
        <f>"503"</f>
        <v>503</v>
      </c>
      <c r="F958" t="str">
        <f t="shared" si="58"/>
        <v>0000</v>
      </c>
    </row>
    <row r="959" spans="1:6">
      <c r="A959" t="str">
        <f>"T651-7"</f>
        <v>T651-7</v>
      </c>
      <c r="B959" t="str">
        <f t="shared" si="59"/>
        <v>VIA DEI GIOVI SUPERIORE VICINO AL 22-</v>
      </c>
      <c r="C959" t="str">
        <f t="shared" si="60"/>
        <v>2</v>
      </c>
      <c r="D959">
        <v>21</v>
      </c>
      <c r="E959" t="str">
        <f>"506"</f>
        <v>506</v>
      </c>
      <c r="F959" t="str">
        <f t="shared" si="58"/>
        <v>0000</v>
      </c>
    </row>
    <row r="960" spans="1:6">
      <c r="A960" t="str">
        <f>"T651-8"</f>
        <v>T651-8</v>
      </c>
      <c r="B960" t="str">
        <f t="shared" si="59"/>
        <v>VIA DEI GIOVI SUPERIORE VICINO AL 22-</v>
      </c>
      <c r="C960" t="str">
        <f t="shared" si="60"/>
        <v>2</v>
      </c>
      <c r="D960">
        <v>21</v>
      </c>
      <c r="E960" t="str">
        <f>"508"</f>
        <v>508</v>
      </c>
      <c r="F960" t="str">
        <f t="shared" si="58"/>
        <v>0000</v>
      </c>
    </row>
    <row r="961" spans="1:6">
      <c r="A961" t="str">
        <f>"T651-9"</f>
        <v>T651-9</v>
      </c>
      <c r="B961" t="str">
        <f t="shared" si="59"/>
        <v>VIA DEI GIOVI SUPERIORE VICINO AL 22-</v>
      </c>
      <c r="C961" t="str">
        <f t="shared" si="60"/>
        <v>2</v>
      </c>
      <c r="D961">
        <v>21</v>
      </c>
      <c r="E961" t="str">
        <f>"509"</f>
        <v>509</v>
      </c>
      <c r="F961" t="str">
        <f t="shared" si="58"/>
        <v>0000</v>
      </c>
    </row>
    <row r="962" spans="1:6">
      <c r="A962" t="str">
        <f>"T651-10"</f>
        <v>T651-10</v>
      </c>
      <c r="B962" t="str">
        <f t="shared" si="59"/>
        <v>VIA DEI GIOVI SUPERIORE VICINO AL 22-</v>
      </c>
      <c r="C962" t="str">
        <f t="shared" si="60"/>
        <v>2</v>
      </c>
      <c r="D962">
        <v>21</v>
      </c>
      <c r="E962" t="str">
        <f>"511"</f>
        <v>511</v>
      </c>
      <c r="F962" t="str">
        <f t="shared" ref="F962:F1000" si="61">"0000"</f>
        <v>0000</v>
      </c>
    </row>
    <row r="963" spans="1:6">
      <c r="A963" t="str">
        <f>"T651-11"</f>
        <v>T651-11</v>
      </c>
      <c r="B963" t="str">
        <f t="shared" si="59"/>
        <v>VIA DEI GIOVI SUPERIORE VICINO AL 22-</v>
      </c>
      <c r="C963" t="str">
        <f t="shared" si="60"/>
        <v>2</v>
      </c>
      <c r="D963">
        <v>21</v>
      </c>
      <c r="E963" t="str">
        <f>"512"</f>
        <v>512</v>
      </c>
      <c r="F963" t="str">
        <f t="shared" si="61"/>
        <v>0000</v>
      </c>
    </row>
    <row r="964" spans="1:6">
      <c r="A964" t="str">
        <f>"T651-12"</f>
        <v>T651-12</v>
      </c>
      <c r="B964" t="str">
        <f t="shared" si="59"/>
        <v>VIA DEI GIOVI SUPERIORE VICINO AL 22-</v>
      </c>
      <c r="C964" t="str">
        <f t="shared" si="60"/>
        <v>2</v>
      </c>
      <c r="D964">
        <v>21</v>
      </c>
      <c r="E964" t="str">
        <f>"515"</f>
        <v>515</v>
      </c>
      <c r="F964" t="str">
        <f t="shared" si="61"/>
        <v>0000</v>
      </c>
    </row>
    <row r="965" spans="1:6">
      <c r="A965" t="str">
        <f>"T651-13"</f>
        <v>T651-13</v>
      </c>
      <c r="B965" t="str">
        <f t="shared" si="59"/>
        <v>VIA DEI GIOVI SUPERIORE VICINO AL 22-</v>
      </c>
      <c r="C965" t="str">
        <f t="shared" si="60"/>
        <v>2</v>
      </c>
      <c r="D965">
        <v>21</v>
      </c>
      <c r="E965" t="str">
        <f>"517"</f>
        <v>517</v>
      </c>
      <c r="F965" t="str">
        <f t="shared" si="61"/>
        <v>0000</v>
      </c>
    </row>
    <row r="966" spans="1:6">
      <c r="A966" t="str">
        <f>"T654-1"</f>
        <v>T654-1</v>
      </c>
      <c r="B966" t="str">
        <f>"VIA DELLE FABBRICHE VICINO AL 76-"</f>
        <v>VIA DELLE FABBRICHE VICINO AL 76-</v>
      </c>
      <c r="C966" t="str">
        <f t="shared" si="60"/>
        <v>2</v>
      </c>
      <c r="D966">
        <v>19</v>
      </c>
      <c r="E966" t="str">
        <f>"556"</f>
        <v>556</v>
      </c>
      <c r="F966" t="str">
        <f t="shared" si="61"/>
        <v>0000</v>
      </c>
    </row>
    <row r="967" spans="1:6">
      <c r="A967" t="str">
        <f>"T655-3"</f>
        <v>T655-3</v>
      </c>
      <c r="B967" t="str">
        <f t="shared" ref="B967:B972" si="62">"VIA LUIGI BART DURANTE VICINO AL 68-"</f>
        <v>VIA LUIGI BART DURANTE VICINO AL 68-</v>
      </c>
      <c r="C967" t="str">
        <f t="shared" ref="C967:C972" si="63">"3"</f>
        <v>3</v>
      </c>
      <c r="D967">
        <v>11</v>
      </c>
      <c r="E967" t="str">
        <f>"180"</f>
        <v>180</v>
      </c>
      <c r="F967" t="str">
        <f t="shared" si="61"/>
        <v>0000</v>
      </c>
    </row>
    <row r="968" spans="1:6">
      <c r="A968" t="str">
        <f>"T655-5"</f>
        <v>T655-5</v>
      </c>
      <c r="B968" t="str">
        <f t="shared" si="62"/>
        <v>VIA LUIGI BART DURANTE VICINO AL 68-</v>
      </c>
      <c r="C968" t="str">
        <f t="shared" si="63"/>
        <v>3</v>
      </c>
      <c r="D968">
        <v>11</v>
      </c>
      <c r="E968" t="str">
        <f>"981"</f>
        <v>981</v>
      </c>
      <c r="F968" t="str">
        <f t="shared" si="61"/>
        <v>0000</v>
      </c>
    </row>
    <row r="969" spans="1:6">
      <c r="A969" t="str">
        <f>"T655-6"</f>
        <v>T655-6</v>
      </c>
      <c r="B969" t="str">
        <f t="shared" si="62"/>
        <v>VIA LUIGI BART DURANTE VICINO AL 68-</v>
      </c>
      <c r="C969" t="str">
        <f t="shared" si="63"/>
        <v>3</v>
      </c>
      <c r="D969">
        <v>11</v>
      </c>
      <c r="E969" t="str">
        <f>"183"</f>
        <v>183</v>
      </c>
      <c r="F969" t="str">
        <f t="shared" si="61"/>
        <v>0000</v>
      </c>
    </row>
    <row r="970" spans="1:6">
      <c r="A970" t="str">
        <f>"T655-7"</f>
        <v>T655-7</v>
      </c>
      <c r="B970" t="str">
        <f t="shared" si="62"/>
        <v>VIA LUIGI BART DURANTE VICINO AL 68-</v>
      </c>
      <c r="C970" t="str">
        <f t="shared" si="63"/>
        <v>3</v>
      </c>
      <c r="D970">
        <v>11</v>
      </c>
      <c r="E970" t="str">
        <f>"184"</f>
        <v>184</v>
      </c>
      <c r="F970" t="str">
        <f t="shared" si="61"/>
        <v>0000</v>
      </c>
    </row>
    <row r="971" spans="1:6">
      <c r="A971" t="str">
        <f>"T655-8"</f>
        <v>T655-8</v>
      </c>
      <c r="B971" t="str">
        <f t="shared" si="62"/>
        <v>VIA LUIGI BART DURANTE VICINO AL 68-</v>
      </c>
      <c r="C971" t="str">
        <f t="shared" si="63"/>
        <v>3</v>
      </c>
      <c r="D971">
        <v>11</v>
      </c>
      <c r="E971" t="str">
        <f>"185"</f>
        <v>185</v>
      </c>
      <c r="F971" t="str">
        <f t="shared" si="61"/>
        <v>0000</v>
      </c>
    </row>
    <row r="972" spans="1:6">
      <c r="A972" t="str">
        <f>"T656-1"</f>
        <v>T656-1</v>
      </c>
      <c r="B972" t="str">
        <f t="shared" si="62"/>
        <v>VIA LUIGI BART DURANTE VICINO AL 68-</v>
      </c>
      <c r="C972" t="str">
        <f t="shared" si="63"/>
        <v>3</v>
      </c>
      <c r="D972">
        <v>11</v>
      </c>
      <c r="E972" t="str">
        <f>"667"</f>
        <v>667</v>
      </c>
      <c r="F972" t="str">
        <f t="shared" si="61"/>
        <v>0000</v>
      </c>
    </row>
    <row r="973" spans="1:6">
      <c r="A973" t="str">
        <f>"T683-1"</f>
        <v>T683-1</v>
      </c>
      <c r="B973" t="str">
        <f>"VIA GASPARE BUFFA VICINO AL 13-"</f>
        <v>VIA GASPARE BUFFA VICINO AL 13-</v>
      </c>
      <c r="C973" t="str">
        <f t="shared" ref="C973:C984" si="64">"2"</f>
        <v>2</v>
      </c>
      <c r="D973">
        <v>32</v>
      </c>
      <c r="E973" t="str">
        <f>"D"</f>
        <v>D</v>
      </c>
      <c r="F973" t="str">
        <f t="shared" si="61"/>
        <v>0000</v>
      </c>
    </row>
    <row r="974" spans="1:6">
      <c r="A974" t="str">
        <f>"T684-1"</f>
        <v>T684-1</v>
      </c>
      <c r="B974" t="str">
        <f>"VIA PAOLO SEGNERI VICINO AL 4-"</f>
        <v>VIA PAOLO SEGNERI VICINO AL 4-</v>
      </c>
      <c r="C974" t="str">
        <f t="shared" si="64"/>
        <v>2</v>
      </c>
      <c r="D974">
        <v>32</v>
      </c>
      <c r="E974" t="str">
        <f>"326"</f>
        <v>326</v>
      </c>
      <c r="F974" t="str">
        <f t="shared" si="61"/>
        <v>0000</v>
      </c>
    </row>
    <row r="975" spans="1:6">
      <c r="A975" t="str">
        <f>"T685-1"</f>
        <v>T685-1</v>
      </c>
      <c r="B975" t="str">
        <f t="shared" ref="B975:B980" si="65">"VIA PAOLO SEGNERI VICINO AL 1-"</f>
        <v>VIA PAOLO SEGNERI VICINO AL 1-</v>
      </c>
      <c r="C975" t="str">
        <f t="shared" si="64"/>
        <v>2</v>
      </c>
      <c r="D975">
        <v>32</v>
      </c>
      <c r="E975" t="str">
        <f>"185"</f>
        <v>185</v>
      </c>
      <c r="F975" t="str">
        <f t="shared" si="61"/>
        <v>0000</v>
      </c>
    </row>
    <row r="976" spans="1:6">
      <c r="A976" t="str">
        <f>"T685-2"</f>
        <v>T685-2</v>
      </c>
      <c r="B976" t="str">
        <f t="shared" si="65"/>
        <v>VIA PAOLO SEGNERI VICINO AL 1-</v>
      </c>
      <c r="C976" t="str">
        <f t="shared" si="64"/>
        <v>2</v>
      </c>
      <c r="D976">
        <v>32</v>
      </c>
      <c r="E976" t="str">
        <f>"187"</f>
        <v>187</v>
      </c>
      <c r="F976" t="str">
        <f t="shared" si="61"/>
        <v>0000</v>
      </c>
    </row>
    <row r="977" spans="1:6">
      <c r="A977" t="str">
        <f>"T685-3"</f>
        <v>T685-3</v>
      </c>
      <c r="B977" t="str">
        <f t="shared" si="65"/>
        <v>VIA PAOLO SEGNERI VICINO AL 1-</v>
      </c>
      <c r="C977" t="str">
        <f t="shared" si="64"/>
        <v>2</v>
      </c>
      <c r="D977">
        <v>32</v>
      </c>
      <c r="E977" t="str">
        <f>"346"</f>
        <v>346</v>
      </c>
      <c r="F977" t="str">
        <f t="shared" si="61"/>
        <v>0000</v>
      </c>
    </row>
    <row r="978" spans="1:6">
      <c r="A978" t="str">
        <f>"T685-4"</f>
        <v>T685-4</v>
      </c>
      <c r="B978" t="str">
        <f t="shared" si="65"/>
        <v>VIA PAOLO SEGNERI VICINO AL 1-</v>
      </c>
      <c r="C978" t="str">
        <f t="shared" si="64"/>
        <v>2</v>
      </c>
      <c r="D978">
        <v>32</v>
      </c>
      <c r="E978" t="str">
        <f>"347"</f>
        <v>347</v>
      </c>
      <c r="F978" t="str">
        <f t="shared" si="61"/>
        <v>0000</v>
      </c>
    </row>
    <row r="979" spans="1:6">
      <c r="A979" t="str">
        <f>"T685-5"</f>
        <v>T685-5</v>
      </c>
      <c r="B979" t="str">
        <f t="shared" si="65"/>
        <v>VIA PAOLO SEGNERI VICINO AL 1-</v>
      </c>
      <c r="C979" t="str">
        <f t="shared" si="64"/>
        <v>2</v>
      </c>
      <c r="D979">
        <v>32</v>
      </c>
      <c r="E979" t="str">
        <f>"350"</f>
        <v>350</v>
      </c>
      <c r="F979" t="str">
        <f t="shared" si="61"/>
        <v>0000</v>
      </c>
    </row>
    <row r="980" spans="1:6">
      <c r="A980" t="str">
        <f>"T685-6"</f>
        <v>T685-6</v>
      </c>
      <c r="B980" t="str">
        <f t="shared" si="65"/>
        <v>VIA PAOLO SEGNERI VICINO AL 1-</v>
      </c>
      <c r="C980" t="str">
        <f t="shared" si="64"/>
        <v>2</v>
      </c>
      <c r="D980">
        <v>32</v>
      </c>
      <c r="E980" t="str">
        <f>"351"</f>
        <v>351</v>
      </c>
      <c r="F980" t="str">
        <f t="shared" si="61"/>
        <v>0000</v>
      </c>
    </row>
    <row r="981" spans="1:6">
      <c r="A981" t="str">
        <f>"T686-1"</f>
        <v>T686-1</v>
      </c>
      <c r="B981" t="str">
        <f>"VIA VOLTRI VICINO AL 34AR-"</f>
        <v>VIA VOLTRI VICINO AL 34AR-</v>
      </c>
      <c r="C981" t="str">
        <f t="shared" si="64"/>
        <v>2</v>
      </c>
      <c r="D981">
        <v>32</v>
      </c>
      <c r="E981" t="str">
        <f>"354"</f>
        <v>354</v>
      </c>
      <c r="F981" t="str">
        <f t="shared" si="61"/>
        <v>0000</v>
      </c>
    </row>
    <row r="982" spans="1:6">
      <c r="A982" t="str">
        <f>"T686-2"</f>
        <v>T686-2</v>
      </c>
      <c r="B982" t="str">
        <f>"VIA VOLTRI VICINO AL 34AR-"</f>
        <v>VIA VOLTRI VICINO AL 34AR-</v>
      </c>
      <c r="C982" t="str">
        <f t="shared" si="64"/>
        <v>2</v>
      </c>
      <c r="D982">
        <v>32</v>
      </c>
      <c r="E982" t="str">
        <f>"353"</f>
        <v>353</v>
      </c>
      <c r="F982" t="str">
        <f t="shared" si="61"/>
        <v>0000</v>
      </c>
    </row>
    <row r="983" spans="1:6">
      <c r="A983" t="str">
        <f>"T808-1"</f>
        <v>T808-1</v>
      </c>
      <c r="B983" t="str">
        <f>"VIA ANTONIO VIACAVA VICINO AL 1-"</f>
        <v>VIA ANTONIO VIACAVA VICINO AL 1-</v>
      </c>
      <c r="C983" t="str">
        <f t="shared" si="64"/>
        <v>2</v>
      </c>
      <c r="D983">
        <v>31</v>
      </c>
      <c r="E983" t="str">
        <f>"480"</f>
        <v>480</v>
      </c>
      <c r="F983" t="str">
        <f t="shared" si="61"/>
        <v>0000</v>
      </c>
    </row>
    <row r="984" spans="1:6">
      <c r="A984" t="str">
        <f>"T808-2"</f>
        <v>T808-2</v>
      </c>
      <c r="B984" t="str">
        <f>"VIA ANTONIO VIACAVA VICINO AL 1-"</f>
        <v>VIA ANTONIO VIACAVA VICINO AL 1-</v>
      </c>
      <c r="C984" t="str">
        <f t="shared" si="64"/>
        <v>2</v>
      </c>
      <c r="D984">
        <v>31</v>
      </c>
      <c r="E984" t="str">
        <f>"173"</f>
        <v>173</v>
      </c>
      <c r="F984" t="str">
        <f t="shared" si="61"/>
        <v>0000</v>
      </c>
    </row>
    <row r="985" spans="1:6">
      <c r="A985" t="str">
        <f>"T810-1"</f>
        <v>T810-1</v>
      </c>
      <c r="B985" t="str">
        <f t="shared" ref="B985:B994" si="66">"VIA LUIGI BART DURANTE VICINO AL 78-"</f>
        <v>VIA LUIGI BART DURANTE VICINO AL 78-</v>
      </c>
      <c r="C985" t="str">
        <f t="shared" ref="C985:C1000" si="67">"3"</f>
        <v>3</v>
      </c>
      <c r="D985">
        <v>11</v>
      </c>
      <c r="E985" t="str">
        <f>"417"</f>
        <v>417</v>
      </c>
      <c r="F985" t="str">
        <f t="shared" si="61"/>
        <v>0000</v>
      </c>
    </row>
    <row r="986" spans="1:6">
      <c r="A986" t="str">
        <f>"T810-2"</f>
        <v>T810-2</v>
      </c>
      <c r="B986" t="str">
        <f t="shared" si="66"/>
        <v>VIA LUIGI BART DURANTE VICINO AL 78-</v>
      </c>
      <c r="C986" t="str">
        <f t="shared" si="67"/>
        <v>3</v>
      </c>
      <c r="D986">
        <v>11</v>
      </c>
      <c r="E986" t="str">
        <f>"179"</f>
        <v>179</v>
      </c>
      <c r="F986" t="str">
        <f t="shared" si="61"/>
        <v>0000</v>
      </c>
    </row>
    <row r="987" spans="1:6">
      <c r="A987" t="str">
        <f>"T810-3"</f>
        <v>T810-3</v>
      </c>
      <c r="B987" t="str">
        <f t="shared" si="66"/>
        <v>VIA LUIGI BART DURANTE VICINO AL 78-</v>
      </c>
      <c r="C987" t="str">
        <f t="shared" si="67"/>
        <v>3</v>
      </c>
      <c r="D987">
        <v>11</v>
      </c>
      <c r="E987" t="str">
        <f>"180"</f>
        <v>180</v>
      </c>
      <c r="F987" t="str">
        <f t="shared" si="61"/>
        <v>0000</v>
      </c>
    </row>
    <row r="988" spans="1:6">
      <c r="A988" t="str">
        <f>"T810-4"</f>
        <v>T810-4</v>
      </c>
      <c r="B988" t="str">
        <f t="shared" si="66"/>
        <v>VIA LUIGI BART DURANTE VICINO AL 78-</v>
      </c>
      <c r="C988" t="str">
        <f t="shared" si="67"/>
        <v>3</v>
      </c>
      <c r="D988">
        <v>11</v>
      </c>
      <c r="E988" t="str">
        <f>"181"</f>
        <v>181</v>
      </c>
      <c r="F988" t="str">
        <f t="shared" si="61"/>
        <v>0000</v>
      </c>
    </row>
    <row r="989" spans="1:6">
      <c r="A989" t="str">
        <f>"T810-5"</f>
        <v>T810-5</v>
      </c>
      <c r="B989" t="str">
        <f t="shared" si="66"/>
        <v>VIA LUIGI BART DURANTE VICINO AL 78-</v>
      </c>
      <c r="C989" t="str">
        <f t="shared" si="67"/>
        <v>3</v>
      </c>
      <c r="D989">
        <v>11</v>
      </c>
      <c r="E989" t="str">
        <f>"185"</f>
        <v>185</v>
      </c>
      <c r="F989" t="str">
        <f t="shared" si="61"/>
        <v>0000</v>
      </c>
    </row>
    <row r="990" spans="1:6">
      <c r="A990" t="str">
        <f>"T810-6"</f>
        <v>T810-6</v>
      </c>
      <c r="B990" t="str">
        <f t="shared" si="66"/>
        <v>VIA LUIGI BART DURANTE VICINO AL 78-</v>
      </c>
      <c r="C990" t="str">
        <f t="shared" si="67"/>
        <v>3</v>
      </c>
      <c r="D990">
        <v>11</v>
      </c>
      <c r="E990" t="str">
        <f>"186"</f>
        <v>186</v>
      </c>
      <c r="F990" t="str">
        <f t="shared" si="61"/>
        <v>0000</v>
      </c>
    </row>
    <row r="991" spans="1:6">
      <c r="A991" t="str">
        <f>"T810-7"</f>
        <v>T810-7</v>
      </c>
      <c r="B991" t="str">
        <f t="shared" si="66"/>
        <v>VIA LUIGI BART DURANTE VICINO AL 78-</v>
      </c>
      <c r="C991" t="str">
        <f t="shared" si="67"/>
        <v>3</v>
      </c>
      <c r="D991">
        <v>11</v>
      </c>
      <c r="E991" t="str">
        <f>"187"</f>
        <v>187</v>
      </c>
      <c r="F991" t="str">
        <f t="shared" si="61"/>
        <v>0000</v>
      </c>
    </row>
    <row r="992" spans="1:6">
      <c r="A992" t="str">
        <f>"T810-8"</f>
        <v>T810-8</v>
      </c>
      <c r="B992" t="str">
        <f t="shared" si="66"/>
        <v>VIA LUIGI BART DURANTE VICINO AL 78-</v>
      </c>
      <c r="C992" t="str">
        <f t="shared" si="67"/>
        <v>3</v>
      </c>
      <c r="D992">
        <v>11</v>
      </c>
      <c r="E992" t="str">
        <f>"188"</f>
        <v>188</v>
      </c>
      <c r="F992" t="str">
        <f t="shared" si="61"/>
        <v>0000</v>
      </c>
    </row>
    <row r="993" spans="1:6">
      <c r="A993" t="str">
        <f>"T810-9"</f>
        <v>T810-9</v>
      </c>
      <c r="B993" t="str">
        <f t="shared" si="66"/>
        <v>VIA LUIGI BART DURANTE VICINO AL 78-</v>
      </c>
      <c r="C993" t="str">
        <f t="shared" si="67"/>
        <v>3</v>
      </c>
      <c r="D993">
        <v>11</v>
      </c>
      <c r="E993" t="str">
        <f>"282"</f>
        <v>282</v>
      </c>
      <c r="F993" t="str">
        <f t="shared" si="61"/>
        <v>0000</v>
      </c>
    </row>
    <row r="994" spans="1:6">
      <c r="A994" t="str">
        <f>"T810-10"</f>
        <v>T810-10</v>
      </c>
      <c r="B994" t="str">
        <f t="shared" si="66"/>
        <v>VIA LUIGI BART DURANTE VICINO AL 78-</v>
      </c>
      <c r="C994" t="str">
        <f t="shared" si="67"/>
        <v>3</v>
      </c>
      <c r="D994">
        <v>11</v>
      </c>
      <c r="E994" t="str">
        <f>"287"</f>
        <v>287</v>
      </c>
      <c r="F994" t="str">
        <f t="shared" si="61"/>
        <v>0000</v>
      </c>
    </row>
    <row r="995" spans="1:6">
      <c r="A995" t="str">
        <f>"T815-1"</f>
        <v>T815-1</v>
      </c>
      <c r="B995" t="str">
        <f>"VIA LAVIOSA VICINO AL 33-"</f>
        <v>VIA LAVIOSA VICINO AL 33-</v>
      </c>
      <c r="C995" t="str">
        <f t="shared" si="67"/>
        <v>3</v>
      </c>
      <c r="D995">
        <v>41</v>
      </c>
      <c r="E995" t="str">
        <f>"683"</f>
        <v>683</v>
      </c>
      <c r="F995" t="str">
        <f t="shared" si="61"/>
        <v>0000</v>
      </c>
    </row>
    <row r="996" spans="1:6">
      <c r="A996" t="str">
        <f>"T815-2"</f>
        <v>T815-2</v>
      </c>
      <c r="B996" t="str">
        <f>"VIA LAVIOSA VICINO AL 33-"</f>
        <v>VIA LAVIOSA VICINO AL 33-</v>
      </c>
      <c r="C996" t="str">
        <f t="shared" si="67"/>
        <v>3</v>
      </c>
      <c r="D996">
        <v>41</v>
      </c>
      <c r="E996" t="str">
        <f>"698"</f>
        <v>698</v>
      </c>
      <c r="F996" t="str">
        <f t="shared" si="61"/>
        <v>0000</v>
      </c>
    </row>
    <row r="997" spans="1:6">
      <c r="A997" t="str">
        <f>"T815-3"</f>
        <v>T815-3</v>
      </c>
      <c r="B997" t="str">
        <f>"VIA LAVIOSA VICINO AL 33-"</f>
        <v>VIA LAVIOSA VICINO AL 33-</v>
      </c>
      <c r="C997" t="str">
        <f t="shared" si="67"/>
        <v>3</v>
      </c>
      <c r="D997">
        <v>41</v>
      </c>
      <c r="E997" t="str">
        <f>"965"</f>
        <v>965</v>
      </c>
      <c r="F997" t="str">
        <f t="shared" si="61"/>
        <v>0000</v>
      </c>
    </row>
    <row r="998" spans="1:6">
      <c r="A998" t="str">
        <f>"T816-1"</f>
        <v>T816-1</v>
      </c>
      <c r="B998" t="str">
        <f>"VIA LAVIOSA VICINO AL 33-"</f>
        <v>VIA LAVIOSA VICINO AL 33-</v>
      </c>
      <c r="C998" t="str">
        <f t="shared" si="67"/>
        <v>3</v>
      </c>
      <c r="D998">
        <v>41</v>
      </c>
      <c r="E998" t="str">
        <f>"698"</f>
        <v>698</v>
      </c>
      <c r="F998" t="str">
        <f t="shared" si="61"/>
        <v>0000</v>
      </c>
    </row>
    <row r="999" spans="1:6">
      <c r="A999" t="str">
        <f>"T816-2"</f>
        <v>T816-2</v>
      </c>
      <c r="B999" t="str">
        <f>"VIA LAVIOSA VICINO AL 33-"</f>
        <v>VIA LAVIOSA VICINO AL 33-</v>
      </c>
      <c r="C999" t="str">
        <f t="shared" si="67"/>
        <v>3</v>
      </c>
      <c r="D999">
        <v>41</v>
      </c>
      <c r="E999" t="str">
        <f>"965"</f>
        <v>965</v>
      </c>
      <c r="F999" t="str">
        <f t="shared" si="61"/>
        <v>0000</v>
      </c>
    </row>
    <row r="1000" spans="1:6">
      <c r="A1000" t="str">
        <f>"T817-1"</f>
        <v>T817-1</v>
      </c>
      <c r="B1000" t="str">
        <f>"VIA SORGENTI SULFUREE VICINO AL 1A-"</f>
        <v>VIA SORGENTI SULFUREE VICINO AL 1A-</v>
      </c>
      <c r="C1000" t="str">
        <f t="shared" si="67"/>
        <v>3</v>
      </c>
      <c r="D1000">
        <v>12</v>
      </c>
      <c r="E1000" t="str">
        <f>"122"</f>
        <v>122</v>
      </c>
      <c r="F1000" t="str">
        <f t="shared" si="61"/>
        <v>0000</v>
      </c>
    </row>
    <row r="1001" spans="1:6">
      <c r="A1001" t="str">
        <f>"T1041-1"</f>
        <v>T1041-1</v>
      </c>
      <c r="B1001" t="str">
        <f>"VIALE GIORGIO MODUGNO VICINO AL 9A-"</f>
        <v>VIALE GIORGIO MODUGNO VICINO AL 9A-</v>
      </c>
      <c r="C1001" t="str">
        <f>"PEG"</f>
        <v>PEG</v>
      </c>
      <c r="D1001">
        <v>44</v>
      </c>
      <c r="E1001" t="str">
        <f>"691"</f>
        <v>691</v>
      </c>
      <c r="F1001" t="str">
        <f>"2"</f>
        <v>2</v>
      </c>
    </row>
    <row r="1002" spans="1:6">
      <c r="A1002" t="str">
        <f>"T1041-2"</f>
        <v>T1041-2</v>
      </c>
      <c r="B1002" t="str">
        <f>"VIALE GIORGIO MODUGNO VICINO AL 9A-"</f>
        <v>VIALE GIORGIO MODUGNO VICINO AL 9A-</v>
      </c>
      <c r="C1002" t="str">
        <f>"PEG"</f>
        <v>PEG</v>
      </c>
      <c r="D1002">
        <v>44</v>
      </c>
      <c r="E1002" t="str">
        <f>"693"</f>
        <v>693</v>
      </c>
      <c r="F1002" t="str">
        <f>"2"</f>
        <v>2</v>
      </c>
    </row>
    <row r="1003" spans="1:6">
      <c r="A1003" t="str">
        <f>"T1041-3"</f>
        <v>T1041-3</v>
      </c>
      <c r="B1003" t="str">
        <f>"VIALE GIORGIO MODUGNO VICINO AL 9A-"</f>
        <v>VIALE GIORGIO MODUGNO VICINO AL 9A-</v>
      </c>
      <c r="C1003" t="str">
        <f>"PEG"</f>
        <v>PEG</v>
      </c>
      <c r="D1003">
        <v>44</v>
      </c>
      <c r="E1003" t="str">
        <f>"692"</f>
        <v>692</v>
      </c>
      <c r="F1003" t="str">
        <f>"2"</f>
        <v>2</v>
      </c>
    </row>
    <row r="1004" spans="1:6">
      <c r="A1004" t="str">
        <f>"T1051-1"</f>
        <v>T1051-1</v>
      </c>
      <c r="B1004" t="str">
        <f>"VIA RONCHI  47-"</f>
        <v>VIA RONCHI  47-</v>
      </c>
      <c r="C1004" t="str">
        <f>"PEG"</f>
        <v>PEG</v>
      </c>
      <c r="D1004">
        <v>46</v>
      </c>
      <c r="E1004" t="str">
        <f>"108"</f>
        <v>108</v>
      </c>
      <c r="F1004" t="str">
        <f>"1"</f>
        <v>1</v>
      </c>
    </row>
    <row r="1005" spans="1:6">
      <c r="A1005" t="str">
        <f>"T1051-1"</f>
        <v>T1051-1</v>
      </c>
      <c r="B1005" t="str">
        <f>"VIA RONCHI  47-"</f>
        <v>VIA RONCHI  47-</v>
      </c>
      <c r="C1005" t="str">
        <f>"3"</f>
        <v>3</v>
      </c>
      <c r="D1005">
        <v>46</v>
      </c>
      <c r="E1005" t="str">
        <f>"622"</f>
        <v>622</v>
      </c>
      <c r="F1005" t="str">
        <f>"0000"</f>
        <v>0000</v>
      </c>
    </row>
    <row r="1006" spans="1:6">
      <c r="A1006" t="str">
        <f>"T1057-1"</f>
        <v>T1057-1</v>
      </c>
      <c r="B1006" t="str">
        <f>"VIA ROMANA DI VOLTRI VICINO AL 4B-"</f>
        <v>VIA ROMANA DI VOLTRI VICINO AL 4B-</v>
      </c>
      <c r="C1006" t="str">
        <f>"2"</f>
        <v>2</v>
      </c>
      <c r="D1006">
        <v>37</v>
      </c>
      <c r="E1006" t="str">
        <f>"379"</f>
        <v>379</v>
      </c>
      <c r="F1006" t="str">
        <f>"0000"</f>
        <v>0000</v>
      </c>
    </row>
    <row r="1007" spans="1:6">
      <c r="A1007" t="str">
        <f>"T1058-1"</f>
        <v>T1058-1</v>
      </c>
      <c r="B1007" t="str">
        <f>"VIA ROMANA DI VOLTRI VICINO AL 4B-"</f>
        <v>VIA ROMANA DI VOLTRI VICINO AL 4B-</v>
      </c>
      <c r="C1007" t="str">
        <f>"2"</f>
        <v>2</v>
      </c>
      <c r="D1007">
        <v>37</v>
      </c>
      <c r="E1007" t="str">
        <f>"293"</f>
        <v>293</v>
      </c>
      <c r="F1007" t="str">
        <f>"0000"</f>
        <v>0000</v>
      </c>
    </row>
    <row r="1008" spans="1:6">
      <c r="A1008" t="str">
        <f>"T1062-1"</f>
        <v>T1062-1</v>
      </c>
      <c r="B1008" t="str">
        <f>"VIA PRA VICINO AL 61-"</f>
        <v>VIA PRA VICINO AL 61-</v>
      </c>
      <c r="C1008" t="str">
        <f>""</f>
        <v/>
      </c>
      <c r="E1008" t="str">
        <f>""</f>
        <v/>
      </c>
      <c r="F1008" t="str">
        <f>""</f>
        <v/>
      </c>
    </row>
    <row r="1009" spans="1:6">
      <c r="A1009" t="str">
        <f>"T1078-1"</f>
        <v>T1078-1</v>
      </c>
      <c r="B1009" t="str">
        <f t="shared" ref="B1009:B1014" si="68">"VIA PIERO CALAMANDREI VICINO AL 115-"</f>
        <v>VIA PIERO CALAMANDREI VICINO AL 115-</v>
      </c>
      <c r="C1009" t="str">
        <f t="shared" ref="C1009:C1014" si="69">"2"</f>
        <v>2</v>
      </c>
      <c r="D1009">
        <v>30</v>
      </c>
      <c r="E1009" t="str">
        <f>"264"</f>
        <v>264</v>
      </c>
      <c r="F1009" t="str">
        <f t="shared" ref="F1009:F1017" si="70">"0000"</f>
        <v>0000</v>
      </c>
    </row>
    <row r="1010" spans="1:6">
      <c r="A1010" t="str">
        <f>"T1078-2"</f>
        <v>T1078-2</v>
      </c>
      <c r="B1010" t="str">
        <f t="shared" si="68"/>
        <v>VIA PIERO CALAMANDREI VICINO AL 115-</v>
      </c>
      <c r="C1010" t="str">
        <f t="shared" si="69"/>
        <v>2</v>
      </c>
      <c r="D1010">
        <v>30</v>
      </c>
      <c r="E1010" t="str">
        <f>"265"</f>
        <v>265</v>
      </c>
      <c r="F1010" t="str">
        <f t="shared" si="70"/>
        <v>0000</v>
      </c>
    </row>
    <row r="1011" spans="1:6">
      <c r="A1011" t="str">
        <f>"T1078-3"</f>
        <v>T1078-3</v>
      </c>
      <c r="B1011" t="str">
        <f t="shared" si="68"/>
        <v>VIA PIERO CALAMANDREI VICINO AL 115-</v>
      </c>
      <c r="C1011" t="str">
        <f t="shared" si="69"/>
        <v>2</v>
      </c>
      <c r="D1011">
        <v>30</v>
      </c>
      <c r="E1011" t="str">
        <f>"266"</f>
        <v>266</v>
      </c>
      <c r="F1011" t="str">
        <f t="shared" si="70"/>
        <v>0000</v>
      </c>
    </row>
    <row r="1012" spans="1:6">
      <c r="A1012" t="str">
        <f>"T1078-4"</f>
        <v>T1078-4</v>
      </c>
      <c r="B1012" t="str">
        <f t="shared" si="68"/>
        <v>VIA PIERO CALAMANDREI VICINO AL 115-</v>
      </c>
      <c r="C1012" t="str">
        <f t="shared" si="69"/>
        <v>2</v>
      </c>
      <c r="D1012">
        <v>30</v>
      </c>
      <c r="E1012" t="str">
        <f>"1483"</f>
        <v>1483</v>
      </c>
      <c r="F1012" t="str">
        <f t="shared" si="70"/>
        <v>0000</v>
      </c>
    </row>
    <row r="1013" spans="1:6">
      <c r="A1013" t="str">
        <f>"T1078-5"</f>
        <v>T1078-5</v>
      </c>
      <c r="B1013" t="str">
        <f t="shared" si="68"/>
        <v>VIA PIERO CALAMANDREI VICINO AL 115-</v>
      </c>
      <c r="C1013" t="str">
        <f t="shared" si="69"/>
        <v>2</v>
      </c>
      <c r="D1013">
        <v>30</v>
      </c>
      <c r="E1013" t="str">
        <f>"1296"</f>
        <v>1296</v>
      </c>
      <c r="F1013" t="str">
        <f t="shared" si="70"/>
        <v>0000</v>
      </c>
    </row>
    <row r="1014" spans="1:6">
      <c r="A1014" t="str">
        <f>"T1078-6"</f>
        <v>T1078-6</v>
      </c>
      <c r="B1014" t="str">
        <f t="shared" si="68"/>
        <v>VIA PIERO CALAMANDREI VICINO AL 115-</v>
      </c>
      <c r="C1014" t="str">
        <f t="shared" si="69"/>
        <v>2</v>
      </c>
      <c r="D1014">
        <v>30</v>
      </c>
      <c r="E1014" t="str">
        <f>"1298"</f>
        <v>1298</v>
      </c>
      <c r="F1014" t="str">
        <f t="shared" si="70"/>
        <v>0000</v>
      </c>
    </row>
    <row r="1015" spans="1:6">
      <c r="A1015" t="str">
        <f>"T1081-1"</f>
        <v>T1081-1</v>
      </c>
      <c r="B1015" t="str">
        <f>"VIA MARTIRI DEL TURCHINO  114-"</f>
        <v>VIA MARTIRI DEL TURCHINO  114-</v>
      </c>
      <c r="C1015" t="str">
        <f>"PRA"</f>
        <v>PRA</v>
      </c>
      <c r="D1015">
        <v>10</v>
      </c>
      <c r="E1015" t="str">
        <f>"548"</f>
        <v>548</v>
      </c>
      <c r="F1015" t="str">
        <f t="shared" si="70"/>
        <v>0000</v>
      </c>
    </row>
    <row r="1016" spans="1:6">
      <c r="A1016" t="str">
        <f>"T1126-1"</f>
        <v>T1126-1</v>
      </c>
      <c r="B1016" t="str">
        <f>"VIA ERNESTO STASSANO VICINO AL 24-"</f>
        <v>VIA ERNESTO STASSANO VICINO AL 24-</v>
      </c>
      <c r="C1016" t="str">
        <f>"3"</f>
        <v>3</v>
      </c>
      <c r="D1016">
        <v>11</v>
      </c>
      <c r="E1016" t="str">
        <f>"259"</f>
        <v>259</v>
      </c>
      <c r="F1016" t="str">
        <f t="shared" si="70"/>
        <v>0000</v>
      </c>
    </row>
    <row r="1017" spans="1:6">
      <c r="A1017" t="str">
        <f>"T1143-1"</f>
        <v>T1143-1</v>
      </c>
      <c r="B1017" t="str">
        <f>"VIA PISSAPAOLA VICINO AL 5-"</f>
        <v>VIA PISSAPAOLA VICINO AL 5-</v>
      </c>
      <c r="C1017" t="str">
        <f>"2"</f>
        <v>2</v>
      </c>
      <c r="D1017">
        <v>37</v>
      </c>
      <c r="E1017" t="str">
        <f>"167"</f>
        <v>167</v>
      </c>
      <c r="F1017" t="str">
        <f t="shared" si="70"/>
        <v>0000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75"/>
  <sheetViews>
    <sheetView workbookViewId="0">
      <selection sqref="A1:F1"/>
    </sheetView>
  </sheetViews>
  <sheetFormatPr defaultRowHeight="12.75"/>
  <cols>
    <col min="1" max="1" width="19.5703125" bestFit="1" customWidth="1"/>
    <col min="2" max="2" width="42.42578125" bestFit="1" customWidth="1"/>
  </cols>
  <sheetData>
    <row r="1" spans="1:6">
      <c r="A1" s="1" t="str">
        <f>"codice identificativo"</f>
        <v>codice identificativo</v>
      </c>
      <c r="B1" s="1" t="str">
        <f>"Indirizzo/Località"</f>
        <v>Indirizzo/Località</v>
      </c>
      <c r="C1" s="1" t="str">
        <f>"SEZIONE"</f>
        <v>SEZIONE</v>
      </c>
      <c r="D1" s="1" t="str">
        <f>"FOGLIO"</f>
        <v>FOGLIO</v>
      </c>
      <c r="E1" s="1" t="str">
        <f>"MAPPALE"</f>
        <v>MAPPALE</v>
      </c>
      <c r="F1" s="1" t="str">
        <f>"SUB"</f>
        <v>SUB</v>
      </c>
    </row>
    <row r="2" spans="1:6">
      <c r="A2" t="str">
        <f>"T1-1"</f>
        <v>T1-1</v>
      </c>
      <c r="B2" t="str">
        <f>"VIA DEI BEDINOTTI  15-"</f>
        <v>VIA DEI BEDINOTTI  15-</v>
      </c>
      <c r="C2" t="str">
        <f t="shared" ref="C2:C33" si="0">"1"</f>
        <v>1</v>
      </c>
      <c r="D2">
        <v>41</v>
      </c>
      <c r="E2" t="str">
        <f>"143"</f>
        <v>143</v>
      </c>
      <c r="F2" t="str">
        <f t="shared" ref="F2:F33" si="1">"0000"</f>
        <v>0000</v>
      </c>
    </row>
    <row r="3" spans="1:6">
      <c r="A3" t="str">
        <f>"T1-2"</f>
        <v>T1-2</v>
      </c>
      <c r="B3" t="str">
        <f>"VIA DEI BEDINOTTI  15-"</f>
        <v>VIA DEI BEDINOTTI  15-</v>
      </c>
      <c r="C3" t="str">
        <f t="shared" si="0"/>
        <v>1</v>
      </c>
      <c r="D3">
        <v>41</v>
      </c>
      <c r="E3" t="str">
        <f>"176"</f>
        <v>176</v>
      </c>
      <c r="F3" t="str">
        <f t="shared" si="1"/>
        <v>0000</v>
      </c>
    </row>
    <row r="4" spans="1:6">
      <c r="A4" t="str">
        <f>"T4-1"</f>
        <v>T4-1</v>
      </c>
      <c r="B4" t="str">
        <f>"SALITA SUPERIORE NOCE VICINO AL 78-"</f>
        <v>SALITA SUPERIORE NOCE VICINO AL 78-</v>
      </c>
      <c r="C4" t="str">
        <f t="shared" si="0"/>
        <v>1</v>
      </c>
      <c r="D4">
        <v>75</v>
      </c>
      <c r="E4" t="str">
        <f>"5"</f>
        <v>5</v>
      </c>
      <c r="F4" t="str">
        <f t="shared" si="1"/>
        <v>0000</v>
      </c>
    </row>
    <row r="5" spans="1:6">
      <c r="A5" t="str">
        <f>"T57-1"</f>
        <v>T57-1</v>
      </c>
      <c r="B5" t="str">
        <f>"GIARDINI GILBERTO GOVI  16-"</f>
        <v>GIARDINI GILBERTO GOVI  16-</v>
      </c>
      <c r="C5" t="str">
        <f t="shared" si="0"/>
        <v>1</v>
      </c>
      <c r="D5">
        <v>89</v>
      </c>
      <c r="E5" t="str">
        <f>"99999"</f>
        <v>99999</v>
      </c>
      <c r="F5" t="str">
        <f t="shared" si="1"/>
        <v>0000</v>
      </c>
    </row>
    <row r="6" spans="1:6">
      <c r="A6" t="str">
        <f>"T58-1"</f>
        <v>T58-1</v>
      </c>
      <c r="B6" t="str">
        <f>"VIA EUGENIO RUSPOLI VICINO AL 6-"</f>
        <v>VIA EUGENIO RUSPOLI VICINO AL 6-</v>
      </c>
      <c r="C6" t="str">
        <f t="shared" si="0"/>
        <v>1</v>
      </c>
      <c r="D6">
        <v>85</v>
      </c>
      <c r="E6" t="str">
        <f>"99999"</f>
        <v>99999</v>
      </c>
      <c r="F6" t="str">
        <f t="shared" si="1"/>
        <v>0000</v>
      </c>
    </row>
    <row r="7" spans="1:6">
      <c r="A7" t="str">
        <f>"T58-2"</f>
        <v>T58-2</v>
      </c>
      <c r="B7" t="str">
        <f>"VIA EUGENIO RUSPOLI VICINO AL 6-"</f>
        <v>VIA EUGENIO RUSPOLI VICINO AL 6-</v>
      </c>
      <c r="C7" t="str">
        <f t="shared" si="0"/>
        <v>1</v>
      </c>
      <c r="D7">
        <v>85</v>
      </c>
      <c r="E7" t="str">
        <f>"99999"</f>
        <v>99999</v>
      </c>
      <c r="F7" t="str">
        <f t="shared" si="1"/>
        <v>0000</v>
      </c>
    </row>
    <row r="8" spans="1:6">
      <c r="A8" t="str">
        <f>"T75-1"</f>
        <v>T75-1</v>
      </c>
      <c r="B8" t="str">
        <f>"VIALE BERNABO BREA VICINO AL 67-"</f>
        <v>VIALE BERNABO BREA VICINO AL 67-</v>
      </c>
      <c r="C8" t="str">
        <f t="shared" si="0"/>
        <v>1</v>
      </c>
      <c r="D8">
        <v>78</v>
      </c>
      <c r="E8" t="str">
        <f>"99999"</f>
        <v>99999</v>
      </c>
      <c r="F8" t="str">
        <f t="shared" si="1"/>
        <v>0000</v>
      </c>
    </row>
    <row r="9" spans="1:6">
      <c r="A9" t="str">
        <f>"T77-1"</f>
        <v>T77-1</v>
      </c>
      <c r="B9" t="str">
        <f>"VIA TRENTO VICINO AL 41-"</f>
        <v>VIA TRENTO VICINO AL 41-</v>
      </c>
      <c r="C9" t="str">
        <f t="shared" si="0"/>
        <v>1</v>
      </c>
      <c r="D9">
        <v>86</v>
      </c>
      <c r="E9" t="str">
        <f>"499"</f>
        <v>499</v>
      </c>
      <c r="F9" t="str">
        <f t="shared" si="1"/>
        <v>0000</v>
      </c>
    </row>
    <row r="10" spans="1:6">
      <c r="A10" t="str">
        <f>"T77-2"</f>
        <v>T77-2</v>
      </c>
      <c r="B10" t="str">
        <f>"VIA TRENTO VICINO AL 41-"</f>
        <v>VIA TRENTO VICINO AL 41-</v>
      </c>
      <c r="C10" t="str">
        <f t="shared" si="0"/>
        <v>1</v>
      </c>
      <c r="D10">
        <v>86</v>
      </c>
      <c r="E10" t="str">
        <f>"504"</f>
        <v>504</v>
      </c>
      <c r="F10" t="str">
        <f t="shared" si="1"/>
        <v>0000</v>
      </c>
    </row>
    <row r="11" spans="1:6">
      <c r="A11" t="str">
        <f>"T77-3"</f>
        <v>T77-3</v>
      </c>
      <c r="B11" t="str">
        <f>"VIA TRENTO VICINO AL 41-"</f>
        <v>VIA TRENTO VICINO AL 41-</v>
      </c>
      <c r="C11" t="str">
        <f t="shared" si="0"/>
        <v>1</v>
      </c>
      <c r="D11">
        <v>86</v>
      </c>
      <c r="E11" t="str">
        <f>"604"</f>
        <v>604</v>
      </c>
      <c r="F11" t="str">
        <f t="shared" si="1"/>
        <v>0000</v>
      </c>
    </row>
    <row r="12" spans="1:6">
      <c r="A12" t="str">
        <f>"T77-4"</f>
        <v>T77-4</v>
      </c>
      <c r="B12" t="str">
        <f>"VIA TRENTO VICINO AL 41-"</f>
        <v>VIA TRENTO VICINO AL 41-</v>
      </c>
      <c r="C12" t="str">
        <f t="shared" si="0"/>
        <v>1</v>
      </c>
      <c r="D12">
        <v>86</v>
      </c>
      <c r="E12" t="str">
        <f>"517"</f>
        <v>517</v>
      </c>
      <c r="F12" t="str">
        <f t="shared" si="1"/>
        <v>0000</v>
      </c>
    </row>
    <row r="13" spans="1:6">
      <c r="A13" t="str">
        <f>"T92-1"</f>
        <v>T92-1</v>
      </c>
      <c r="B13" t="str">
        <f>"VIA FEDERICO SCLOPIS VICINO AL 17-"</f>
        <v>VIA FEDERICO SCLOPIS VICINO AL 17-</v>
      </c>
      <c r="C13" t="str">
        <f t="shared" si="0"/>
        <v>1</v>
      </c>
      <c r="D13">
        <v>80</v>
      </c>
      <c r="E13" t="str">
        <f>"99999"</f>
        <v>99999</v>
      </c>
      <c r="F13" t="str">
        <f t="shared" si="1"/>
        <v>0000</v>
      </c>
    </row>
    <row r="14" spans="1:6">
      <c r="A14" t="str">
        <f>"T92-2"</f>
        <v>T92-2</v>
      </c>
      <c r="B14" t="str">
        <f>"VIA FEDERICO SCLOPIS VICINO AL 17-"</f>
        <v>VIA FEDERICO SCLOPIS VICINO AL 17-</v>
      </c>
      <c r="C14" t="str">
        <f t="shared" si="0"/>
        <v>1</v>
      </c>
      <c r="D14">
        <v>80</v>
      </c>
      <c r="E14" t="str">
        <f>"64"</f>
        <v>64</v>
      </c>
      <c r="F14" t="str">
        <f t="shared" si="1"/>
        <v>0000</v>
      </c>
    </row>
    <row r="15" spans="1:6">
      <c r="A15" t="str">
        <f>"T92-3"</f>
        <v>T92-3</v>
      </c>
      <c r="B15" t="str">
        <f>"VIA FEDERICO SCLOPIS VICINO AL 17-"</f>
        <v>VIA FEDERICO SCLOPIS VICINO AL 17-</v>
      </c>
      <c r="C15" t="str">
        <f t="shared" si="0"/>
        <v>1</v>
      </c>
      <c r="D15">
        <v>80</v>
      </c>
      <c r="E15" t="str">
        <f>"320"</f>
        <v>320</v>
      </c>
      <c r="F15" t="str">
        <f t="shared" si="1"/>
        <v>0000</v>
      </c>
    </row>
    <row r="16" spans="1:6">
      <c r="A16" t="str">
        <f>"T92-4"</f>
        <v>T92-4</v>
      </c>
      <c r="B16" t="str">
        <f>"VIA FEDERICO SCLOPIS VICINO AL 17-"</f>
        <v>VIA FEDERICO SCLOPIS VICINO AL 17-</v>
      </c>
      <c r="C16" t="str">
        <f t="shared" si="0"/>
        <v>1</v>
      </c>
      <c r="D16">
        <v>80</v>
      </c>
      <c r="E16" t="str">
        <f>"349"</f>
        <v>349</v>
      </c>
      <c r="F16" t="str">
        <f t="shared" si="1"/>
        <v>0000</v>
      </c>
    </row>
    <row r="17" spans="1:6">
      <c r="A17" t="str">
        <f>"T96-1"</f>
        <v>T96-1</v>
      </c>
      <c r="B17" t="str">
        <f>"VIA FELICE CAVALLOTTI VICINO AL 5-"</f>
        <v>VIA FELICE CAVALLOTTI VICINO AL 5-</v>
      </c>
      <c r="C17" t="str">
        <f t="shared" si="0"/>
        <v>1</v>
      </c>
      <c r="D17">
        <v>93</v>
      </c>
      <c r="E17" t="str">
        <f>"230"</f>
        <v>230</v>
      </c>
      <c r="F17" t="str">
        <f t="shared" si="1"/>
        <v>0000</v>
      </c>
    </row>
    <row r="18" spans="1:6">
      <c r="A18" t="str">
        <f>"T97-2"</f>
        <v>T97-2</v>
      </c>
      <c r="B18" t="str">
        <f>"VIA DEI MARISTI VICINO AL 1-"</f>
        <v>VIA DEI MARISTI VICINO AL 1-</v>
      </c>
      <c r="C18" t="str">
        <f t="shared" si="0"/>
        <v>1</v>
      </c>
      <c r="D18">
        <v>93</v>
      </c>
      <c r="E18" t="str">
        <f>"607"</f>
        <v>607</v>
      </c>
      <c r="F18" t="str">
        <f t="shared" si="1"/>
        <v>0000</v>
      </c>
    </row>
    <row r="19" spans="1:6">
      <c r="A19" t="str">
        <f>"T98-1"</f>
        <v>T98-1</v>
      </c>
      <c r="B19" t="str">
        <f>"VIA DODECANESO VICINO AL 27-"</f>
        <v>VIA DODECANESO VICINO AL 27-</v>
      </c>
      <c r="C19" t="str">
        <f t="shared" si="0"/>
        <v>1</v>
      </c>
      <c r="D19">
        <v>73</v>
      </c>
      <c r="E19" t="str">
        <f>"225"</f>
        <v>225</v>
      </c>
      <c r="F19" t="str">
        <f t="shared" si="1"/>
        <v>0000</v>
      </c>
    </row>
    <row r="20" spans="1:6">
      <c r="A20" t="str">
        <f>"T98-2"</f>
        <v>T98-2</v>
      </c>
      <c r="B20" t="str">
        <f>"VIA DODECANESO VICINO AL 27-"</f>
        <v>VIA DODECANESO VICINO AL 27-</v>
      </c>
      <c r="C20" t="str">
        <f t="shared" si="0"/>
        <v>1</v>
      </c>
      <c r="D20">
        <v>73</v>
      </c>
      <c r="E20" t="str">
        <f>"227"</f>
        <v>227</v>
      </c>
      <c r="F20" t="str">
        <f t="shared" si="1"/>
        <v>0000</v>
      </c>
    </row>
    <row r="21" spans="1:6">
      <c r="A21" t="str">
        <f>"T99-1"</f>
        <v>T99-1</v>
      </c>
      <c r="B21" t="str">
        <f>"VIA ALBARO VICINO AL 43-"</f>
        <v>VIA ALBARO VICINO AL 43-</v>
      </c>
      <c r="C21" t="str">
        <f t="shared" si="0"/>
        <v>1</v>
      </c>
      <c r="D21">
        <v>74</v>
      </c>
      <c r="E21" t="str">
        <f>"944"</f>
        <v>944</v>
      </c>
      <c r="F21" t="str">
        <f t="shared" si="1"/>
        <v>0000</v>
      </c>
    </row>
    <row r="22" spans="1:6">
      <c r="A22" t="str">
        <f>"T100-2"</f>
        <v>T100-2</v>
      </c>
      <c r="B22" t="str">
        <f>"VIA GILDO CUNEO VICINO AL 2-"</f>
        <v>VIA GILDO CUNEO VICINO AL 2-</v>
      </c>
      <c r="C22" t="str">
        <f t="shared" si="0"/>
        <v>1</v>
      </c>
      <c r="D22">
        <v>74</v>
      </c>
      <c r="E22" t="str">
        <f>"176"</f>
        <v>176</v>
      </c>
      <c r="F22" t="str">
        <f t="shared" si="1"/>
        <v>0000</v>
      </c>
    </row>
    <row r="23" spans="1:6">
      <c r="A23" t="str">
        <f>"T101-1"</f>
        <v>T101-1</v>
      </c>
      <c r="B23" t="str">
        <f>"VIA MERANI VICINO AL 2-"</f>
        <v>VIA MERANI VICINO AL 2-</v>
      </c>
      <c r="C23" t="str">
        <f t="shared" si="0"/>
        <v>1</v>
      </c>
      <c r="D23">
        <v>86</v>
      </c>
      <c r="E23" t="str">
        <f>"505"</f>
        <v>505</v>
      </c>
      <c r="F23" t="str">
        <f t="shared" si="1"/>
        <v>0000</v>
      </c>
    </row>
    <row r="24" spans="1:6">
      <c r="A24" t="str">
        <f>"T102-1"</f>
        <v>T102-1</v>
      </c>
      <c r="B24" t="str">
        <f>"VIALE FRANCESCO GAMBARO VICINO AL 50-"</f>
        <v>VIALE FRANCESCO GAMBARO VICINO AL 50-</v>
      </c>
      <c r="C24" t="str">
        <f t="shared" si="0"/>
        <v>1</v>
      </c>
      <c r="D24">
        <v>76</v>
      </c>
      <c r="E24" t="str">
        <f>"39"</f>
        <v>39</v>
      </c>
      <c r="F24" t="str">
        <f t="shared" si="1"/>
        <v>0000</v>
      </c>
    </row>
    <row r="25" spans="1:6">
      <c r="A25" t="str">
        <f>"T102-2"</f>
        <v>T102-2</v>
      </c>
      <c r="B25" t="str">
        <f>"VIALE FRANCESCO GAMBARO VICINO AL 50-"</f>
        <v>VIALE FRANCESCO GAMBARO VICINO AL 50-</v>
      </c>
      <c r="C25" t="str">
        <f t="shared" si="0"/>
        <v>1</v>
      </c>
      <c r="D25">
        <v>76</v>
      </c>
      <c r="E25" t="str">
        <f>"879"</f>
        <v>879</v>
      </c>
      <c r="F25" t="str">
        <f t="shared" si="1"/>
        <v>0000</v>
      </c>
    </row>
    <row r="26" spans="1:6">
      <c r="A26" t="str">
        <f>"T103-1"</f>
        <v>T103-1</v>
      </c>
      <c r="B26" t="str">
        <f>"VIA BOCCHELLA VICINO AL 6-"</f>
        <v>VIA BOCCHELLA VICINO AL 6-</v>
      </c>
      <c r="C26" t="str">
        <f t="shared" si="0"/>
        <v>1</v>
      </c>
      <c r="D26">
        <v>90</v>
      </c>
      <c r="E26" t="str">
        <f>"19"</f>
        <v>19</v>
      </c>
      <c r="F26" t="str">
        <f t="shared" si="1"/>
        <v>0000</v>
      </c>
    </row>
    <row r="27" spans="1:6">
      <c r="A27" t="str">
        <f>"T103-2"</f>
        <v>T103-2</v>
      </c>
      <c r="B27" t="str">
        <f>"VIA BOCCHELLA VICINO AL 6-"</f>
        <v>VIA BOCCHELLA VICINO AL 6-</v>
      </c>
      <c r="C27" t="str">
        <f t="shared" si="0"/>
        <v>1</v>
      </c>
      <c r="D27">
        <v>90</v>
      </c>
      <c r="E27" t="str">
        <f>"523"</f>
        <v>523</v>
      </c>
      <c r="F27" t="str">
        <f t="shared" si="1"/>
        <v>0000</v>
      </c>
    </row>
    <row r="28" spans="1:6">
      <c r="A28" t="str">
        <f>"T104-1"</f>
        <v>T104-1</v>
      </c>
      <c r="B28" t="str">
        <f>"VIA FLORA VICINO AL 18-"</f>
        <v>VIA FLORA VICINO AL 18-</v>
      </c>
      <c r="C28" t="str">
        <f t="shared" si="0"/>
        <v>1</v>
      </c>
      <c r="D28">
        <v>74</v>
      </c>
      <c r="E28" t="str">
        <f>"255"</f>
        <v>255</v>
      </c>
      <c r="F28" t="str">
        <f t="shared" si="1"/>
        <v>0000</v>
      </c>
    </row>
    <row r="29" spans="1:6">
      <c r="A29" t="str">
        <f>"T104-2"</f>
        <v>T104-2</v>
      </c>
      <c r="B29" t="str">
        <f>"VIA FLORA VICINO AL 18-"</f>
        <v>VIA FLORA VICINO AL 18-</v>
      </c>
      <c r="C29" t="str">
        <f t="shared" si="0"/>
        <v>1</v>
      </c>
      <c r="D29">
        <v>74</v>
      </c>
      <c r="E29" t="str">
        <f>"246"</f>
        <v>246</v>
      </c>
      <c r="F29" t="str">
        <f t="shared" si="1"/>
        <v>0000</v>
      </c>
    </row>
    <row r="30" spans="1:6">
      <c r="A30" t="str">
        <f>"T104-3"</f>
        <v>T104-3</v>
      </c>
      <c r="B30" t="str">
        <f>"VIA FLORA VICINO AL 18-"</f>
        <v>VIA FLORA VICINO AL 18-</v>
      </c>
      <c r="C30" t="str">
        <f t="shared" si="0"/>
        <v>1</v>
      </c>
      <c r="D30">
        <v>74</v>
      </c>
      <c r="E30" t="str">
        <f>"247"</f>
        <v>247</v>
      </c>
      <c r="F30" t="str">
        <f t="shared" si="1"/>
        <v>0000</v>
      </c>
    </row>
    <row r="31" spans="1:6">
      <c r="A31" t="str">
        <f>"T105-1"</f>
        <v>T105-1</v>
      </c>
      <c r="B31" t="str">
        <f>"VIA PISA VICINO AL 44-"</f>
        <v>VIA PISA VICINO AL 44-</v>
      </c>
      <c r="C31" t="str">
        <f t="shared" si="0"/>
        <v>1</v>
      </c>
      <c r="D31">
        <v>76</v>
      </c>
      <c r="E31" t="str">
        <f>"161"</f>
        <v>161</v>
      </c>
      <c r="F31" t="str">
        <f t="shared" si="1"/>
        <v>0000</v>
      </c>
    </row>
    <row r="32" spans="1:6">
      <c r="A32" t="str">
        <f>"T106-1"</f>
        <v>T106-1</v>
      </c>
      <c r="B32" t="str">
        <f>"VIA MONTALLEGRO VICINO AL 2-"</f>
        <v>VIA MONTALLEGRO VICINO AL 2-</v>
      </c>
      <c r="C32" t="str">
        <f t="shared" si="0"/>
        <v>1</v>
      </c>
      <c r="D32">
        <v>74</v>
      </c>
      <c r="E32" t="str">
        <f>"178"</f>
        <v>178</v>
      </c>
      <c r="F32" t="str">
        <f t="shared" si="1"/>
        <v>0000</v>
      </c>
    </row>
    <row r="33" spans="1:6">
      <c r="A33" t="str">
        <f>"T107-1"</f>
        <v>T107-1</v>
      </c>
      <c r="B33" t="str">
        <f>"VIA ALBARO VICINO AL 43-"</f>
        <v>VIA ALBARO VICINO AL 43-</v>
      </c>
      <c r="C33" t="str">
        <f t="shared" si="0"/>
        <v>1</v>
      </c>
      <c r="D33">
        <v>74</v>
      </c>
      <c r="E33" t="str">
        <f>"935"</f>
        <v>935</v>
      </c>
      <c r="F33" t="str">
        <f t="shared" si="1"/>
        <v>0000</v>
      </c>
    </row>
    <row r="34" spans="1:6">
      <c r="A34" t="str">
        <f>"T107-2"</f>
        <v>T107-2</v>
      </c>
      <c r="B34" t="str">
        <f>"VIA ALBARO VICINO AL 43-"</f>
        <v>VIA ALBARO VICINO AL 43-</v>
      </c>
      <c r="C34" t="str">
        <f t="shared" ref="C34:C60" si="2">"1"</f>
        <v>1</v>
      </c>
      <c r="D34">
        <v>74</v>
      </c>
      <c r="E34" t="str">
        <f>"940"</f>
        <v>940</v>
      </c>
      <c r="F34" t="str">
        <f t="shared" ref="F34:F54" si="3">"0000"</f>
        <v>0000</v>
      </c>
    </row>
    <row r="35" spans="1:6">
      <c r="A35" t="str">
        <f>"T107-3"</f>
        <v>T107-3</v>
      </c>
      <c r="B35" t="str">
        <f>"VIA ALBARO VICINO AL 43-"</f>
        <v>VIA ALBARO VICINO AL 43-</v>
      </c>
      <c r="C35" t="str">
        <f t="shared" si="2"/>
        <v>1</v>
      </c>
      <c r="D35">
        <v>74</v>
      </c>
      <c r="E35" t="str">
        <f>"941"</f>
        <v>941</v>
      </c>
      <c r="F35" t="str">
        <f t="shared" si="3"/>
        <v>0000</v>
      </c>
    </row>
    <row r="36" spans="1:6">
      <c r="A36" t="str">
        <f>"T107-4"</f>
        <v>T107-4</v>
      </c>
      <c r="B36" t="str">
        <f>"VIA ALBARO VICINO AL 43-"</f>
        <v>VIA ALBARO VICINO AL 43-</v>
      </c>
      <c r="C36" t="str">
        <f t="shared" si="2"/>
        <v>1</v>
      </c>
      <c r="D36">
        <v>74</v>
      </c>
      <c r="E36" t="str">
        <f>"942"</f>
        <v>942</v>
      </c>
      <c r="F36" t="str">
        <f t="shared" si="3"/>
        <v>0000</v>
      </c>
    </row>
    <row r="37" spans="1:6">
      <c r="A37" t="str">
        <f>"T108-1"</f>
        <v>T108-1</v>
      </c>
      <c r="B37" t="str">
        <f>"VIA CAMILLA VICINO AL 6-"</f>
        <v>VIA CAMILLA VICINO AL 6-</v>
      </c>
      <c r="C37" t="str">
        <f t="shared" si="2"/>
        <v>1</v>
      </c>
      <c r="D37">
        <v>76</v>
      </c>
      <c r="E37" t="str">
        <f>"272"</f>
        <v>272</v>
      </c>
      <c r="F37" t="str">
        <f t="shared" si="3"/>
        <v>0000</v>
      </c>
    </row>
    <row r="38" spans="1:6">
      <c r="A38" t="str">
        <f>"T109-1"</f>
        <v>T109-1</v>
      </c>
      <c r="B38" t="str">
        <f>"VIA CIRENAICA VICINO AL 4-"</f>
        <v>VIA CIRENAICA VICINO AL 4-</v>
      </c>
      <c r="C38" t="str">
        <f t="shared" si="2"/>
        <v>1</v>
      </c>
      <c r="D38">
        <v>74</v>
      </c>
      <c r="E38" t="str">
        <f>"102"</f>
        <v>102</v>
      </c>
      <c r="F38" t="str">
        <f t="shared" si="3"/>
        <v>0000</v>
      </c>
    </row>
    <row r="39" spans="1:6">
      <c r="A39" t="str">
        <f>"T111-1"</f>
        <v>T111-1</v>
      </c>
      <c r="B39" t="str">
        <f>"CORSO ITALIA VICINO AL 9E-"</f>
        <v>CORSO ITALIA VICINO AL 9E-</v>
      </c>
      <c r="C39" t="str">
        <f t="shared" si="2"/>
        <v>1</v>
      </c>
      <c r="D39">
        <v>91</v>
      </c>
      <c r="E39" t="str">
        <f>"285"</f>
        <v>285</v>
      </c>
      <c r="F39" t="str">
        <f t="shared" si="3"/>
        <v>0000</v>
      </c>
    </row>
    <row r="40" spans="1:6">
      <c r="A40" t="str">
        <f>"T111-2"</f>
        <v>T111-2</v>
      </c>
      <c r="B40" t="str">
        <f>"CORSO ITALIA VICINO AL 9E-"</f>
        <v>CORSO ITALIA VICINO AL 9E-</v>
      </c>
      <c r="C40" t="str">
        <f t="shared" si="2"/>
        <v>1</v>
      </c>
      <c r="D40">
        <v>91</v>
      </c>
      <c r="E40" t="str">
        <f>"287"</f>
        <v>287</v>
      </c>
      <c r="F40" t="str">
        <f t="shared" si="3"/>
        <v>0000</v>
      </c>
    </row>
    <row r="41" spans="1:6">
      <c r="A41" t="str">
        <f>"T111-3"</f>
        <v>T111-3</v>
      </c>
      <c r="B41" t="str">
        <f>"CORSO ITALIA VICINO AL 9E-"</f>
        <v>CORSO ITALIA VICINO AL 9E-</v>
      </c>
      <c r="C41" t="str">
        <f t="shared" si="2"/>
        <v>1</v>
      </c>
      <c r="D41">
        <v>91</v>
      </c>
      <c r="E41" t="str">
        <f>"288"</f>
        <v>288</v>
      </c>
      <c r="F41" t="str">
        <f t="shared" si="3"/>
        <v>0000</v>
      </c>
    </row>
    <row r="42" spans="1:6">
      <c r="A42" t="str">
        <f>"T111-4"</f>
        <v>T111-4</v>
      </c>
      <c r="B42" t="str">
        <f>"CORSO ITALIA VICINO AL 9E-"</f>
        <v>CORSO ITALIA VICINO AL 9E-</v>
      </c>
      <c r="C42" t="str">
        <f t="shared" si="2"/>
        <v>1</v>
      </c>
      <c r="D42">
        <v>91</v>
      </c>
      <c r="E42" t="str">
        <f>"289"</f>
        <v>289</v>
      </c>
      <c r="F42" t="str">
        <f t="shared" si="3"/>
        <v>0000</v>
      </c>
    </row>
    <row r="43" spans="1:6">
      <c r="A43" t="str">
        <f>"T111-5"</f>
        <v>T111-5</v>
      </c>
      <c r="B43" t="str">
        <f>"CORSO ITALIA VICINO AL 9E-"</f>
        <v>CORSO ITALIA VICINO AL 9E-</v>
      </c>
      <c r="C43" t="str">
        <f t="shared" si="2"/>
        <v>1</v>
      </c>
      <c r="D43">
        <v>91</v>
      </c>
      <c r="E43" t="str">
        <f>"296"</f>
        <v>296</v>
      </c>
      <c r="F43" t="str">
        <f t="shared" si="3"/>
        <v>0000</v>
      </c>
    </row>
    <row r="44" spans="1:6">
      <c r="A44" t="str">
        <f>"T112-1"</f>
        <v>T112-1</v>
      </c>
      <c r="B44" t="str">
        <f>"CORSO ITALIA VICINO AL 11-"</f>
        <v>CORSO ITALIA VICINO AL 11-</v>
      </c>
      <c r="C44" t="str">
        <f t="shared" si="2"/>
        <v>1</v>
      </c>
      <c r="D44">
        <v>91</v>
      </c>
      <c r="E44" t="str">
        <f>"229"</f>
        <v>229</v>
      </c>
      <c r="F44" t="str">
        <f t="shared" si="3"/>
        <v>0000</v>
      </c>
    </row>
    <row r="45" spans="1:6">
      <c r="A45" t="str">
        <f>"T112-2"</f>
        <v>T112-2</v>
      </c>
      <c r="B45" t="str">
        <f>"CORSO ITALIA VICINO AL 11-"</f>
        <v>CORSO ITALIA VICINO AL 11-</v>
      </c>
      <c r="C45" t="str">
        <f t="shared" si="2"/>
        <v>1</v>
      </c>
      <c r="D45">
        <v>91</v>
      </c>
      <c r="E45" t="str">
        <f>"230"</f>
        <v>230</v>
      </c>
      <c r="F45" t="str">
        <f t="shared" si="3"/>
        <v>0000</v>
      </c>
    </row>
    <row r="46" spans="1:6">
      <c r="A46" t="str">
        <f>"T113-1"</f>
        <v>T113-1</v>
      </c>
      <c r="B46" t="str">
        <f>"CORSO ITALIA VICINO AL 11-"</f>
        <v>CORSO ITALIA VICINO AL 11-</v>
      </c>
      <c r="C46" t="str">
        <f t="shared" si="2"/>
        <v>1</v>
      </c>
      <c r="D46">
        <v>91</v>
      </c>
      <c r="E46" t="str">
        <f>"362"</f>
        <v>362</v>
      </c>
      <c r="F46" t="str">
        <f t="shared" si="3"/>
        <v>0000</v>
      </c>
    </row>
    <row r="47" spans="1:6">
      <c r="A47" t="str">
        <f>"T114-1"</f>
        <v>T114-1</v>
      </c>
      <c r="B47" t="str">
        <f t="shared" ref="B47:B52" si="4">"VIA ZARA VICINO AL 10-"</f>
        <v>VIA ZARA VICINO AL 10-</v>
      </c>
      <c r="C47" t="str">
        <f t="shared" si="2"/>
        <v>1</v>
      </c>
      <c r="D47">
        <v>89</v>
      </c>
      <c r="E47" t="str">
        <f>"114"</f>
        <v>114</v>
      </c>
      <c r="F47" t="str">
        <f t="shared" si="3"/>
        <v>0000</v>
      </c>
    </row>
    <row r="48" spans="1:6">
      <c r="A48" t="str">
        <f>"T114-2"</f>
        <v>T114-2</v>
      </c>
      <c r="B48" t="str">
        <f t="shared" si="4"/>
        <v>VIA ZARA VICINO AL 10-</v>
      </c>
      <c r="C48" t="str">
        <f t="shared" si="2"/>
        <v>1</v>
      </c>
      <c r="D48">
        <v>89</v>
      </c>
      <c r="E48" t="str">
        <f>"126"</f>
        <v>126</v>
      </c>
      <c r="F48" t="str">
        <f t="shared" si="3"/>
        <v>0000</v>
      </c>
    </row>
    <row r="49" spans="1:6">
      <c r="A49" t="str">
        <f>"T114-3"</f>
        <v>T114-3</v>
      </c>
      <c r="B49" t="str">
        <f t="shared" si="4"/>
        <v>VIA ZARA VICINO AL 10-</v>
      </c>
      <c r="C49" t="str">
        <f t="shared" si="2"/>
        <v>1</v>
      </c>
      <c r="D49">
        <v>89</v>
      </c>
      <c r="E49" t="str">
        <f>"160"</f>
        <v>160</v>
      </c>
      <c r="F49" t="str">
        <f t="shared" si="3"/>
        <v>0000</v>
      </c>
    </row>
    <row r="50" spans="1:6">
      <c r="A50" t="str">
        <f>"T114-4"</f>
        <v>T114-4</v>
      </c>
      <c r="B50" t="str">
        <f t="shared" si="4"/>
        <v>VIA ZARA VICINO AL 10-</v>
      </c>
      <c r="C50" t="str">
        <f t="shared" si="2"/>
        <v>1</v>
      </c>
      <c r="D50">
        <v>89</v>
      </c>
      <c r="E50" t="str">
        <f>"162"</f>
        <v>162</v>
      </c>
      <c r="F50" t="str">
        <f t="shared" si="3"/>
        <v>0000</v>
      </c>
    </row>
    <row r="51" spans="1:6">
      <c r="A51" t="str">
        <f>"T114-5"</f>
        <v>T114-5</v>
      </c>
      <c r="B51" t="str">
        <f t="shared" si="4"/>
        <v>VIA ZARA VICINO AL 10-</v>
      </c>
      <c r="C51" t="str">
        <f t="shared" si="2"/>
        <v>1</v>
      </c>
      <c r="D51">
        <v>89</v>
      </c>
      <c r="E51" t="str">
        <f>"99999"</f>
        <v>99999</v>
      </c>
      <c r="F51" t="str">
        <f t="shared" si="3"/>
        <v>0000</v>
      </c>
    </row>
    <row r="52" spans="1:6">
      <c r="A52" t="str">
        <f>"T114-6"</f>
        <v>T114-6</v>
      </c>
      <c r="B52" t="str">
        <f t="shared" si="4"/>
        <v>VIA ZARA VICINO AL 10-</v>
      </c>
      <c r="C52" t="str">
        <f t="shared" si="2"/>
        <v>1</v>
      </c>
      <c r="D52">
        <v>89</v>
      </c>
      <c r="E52" t="str">
        <f>"172"</f>
        <v>172</v>
      </c>
      <c r="F52" t="str">
        <f t="shared" si="3"/>
        <v>0000</v>
      </c>
    </row>
    <row r="53" spans="1:6">
      <c r="A53" t="str">
        <f>"T117-1"</f>
        <v>T117-1</v>
      </c>
      <c r="B53" t="str">
        <f>"VIA ALBARO  38-"</f>
        <v>VIA ALBARO  38-</v>
      </c>
      <c r="C53" t="str">
        <f t="shared" si="2"/>
        <v>1</v>
      </c>
      <c r="D53">
        <v>71</v>
      </c>
      <c r="E53" t="str">
        <f>"512"</f>
        <v>512</v>
      </c>
      <c r="F53" t="str">
        <f t="shared" si="3"/>
        <v>0000</v>
      </c>
    </row>
    <row r="54" spans="1:6">
      <c r="A54" t="str">
        <f>"T117-2"</f>
        <v>T117-2</v>
      </c>
      <c r="B54" t="str">
        <f>"VIA ALBARO  38-"</f>
        <v>VIA ALBARO  38-</v>
      </c>
      <c r="C54" t="str">
        <f t="shared" si="2"/>
        <v>1</v>
      </c>
      <c r="D54">
        <v>71</v>
      </c>
      <c r="E54" t="str">
        <f>"99999"</f>
        <v>99999</v>
      </c>
      <c r="F54" t="str">
        <f t="shared" si="3"/>
        <v>0000</v>
      </c>
    </row>
    <row r="55" spans="1:6">
      <c r="A55" t="str">
        <f>"T117-3"</f>
        <v>T117-3</v>
      </c>
      <c r="B55" t="str">
        <f>"VIA ALBARO  38-"</f>
        <v>VIA ALBARO  38-</v>
      </c>
      <c r="C55" t="str">
        <f t="shared" si="2"/>
        <v>1</v>
      </c>
      <c r="D55">
        <v>71</v>
      </c>
      <c r="E55" t="str">
        <f>"725"</f>
        <v>725</v>
      </c>
      <c r="F55" t="str">
        <f>"0"</f>
        <v>0</v>
      </c>
    </row>
    <row r="56" spans="1:6">
      <c r="A56" t="str">
        <f>"T117-4"</f>
        <v>T117-4</v>
      </c>
      <c r="B56" t="str">
        <f>"VIA ALBARO  38-"</f>
        <v>VIA ALBARO  38-</v>
      </c>
      <c r="C56" t="str">
        <f t="shared" si="2"/>
        <v>1</v>
      </c>
      <c r="D56">
        <v>71</v>
      </c>
      <c r="E56" t="str">
        <f>"705"</f>
        <v>705</v>
      </c>
      <c r="F56" t="str">
        <f t="shared" ref="F56:F87" si="5">"0000"</f>
        <v>0000</v>
      </c>
    </row>
    <row r="57" spans="1:6">
      <c r="A57" t="str">
        <f>"T117-5"</f>
        <v>T117-5</v>
      </c>
      <c r="B57" t="str">
        <f>"VIA ALBARO  38-"</f>
        <v>VIA ALBARO  38-</v>
      </c>
      <c r="C57" t="str">
        <f t="shared" si="2"/>
        <v>1</v>
      </c>
      <c r="D57">
        <v>71</v>
      </c>
      <c r="E57" t="str">
        <f>"423"</f>
        <v>423</v>
      </c>
      <c r="F57" t="str">
        <f t="shared" si="5"/>
        <v>0000</v>
      </c>
    </row>
    <row r="58" spans="1:6">
      <c r="A58" t="str">
        <f>"T118-1"</f>
        <v>T118-1</v>
      </c>
      <c r="B58" t="str">
        <f>"VIA ANGELO ORSINI VICINO AL 49-"</f>
        <v>VIA ANGELO ORSINI VICINO AL 49-</v>
      </c>
      <c r="C58" t="str">
        <f t="shared" si="2"/>
        <v>1</v>
      </c>
      <c r="D58">
        <v>77</v>
      </c>
      <c r="E58" t="str">
        <f>"99999"</f>
        <v>99999</v>
      </c>
      <c r="F58" t="str">
        <f t="shared" si="5"/>
        <v>0000</v>
      </c>
    </row>
    <row r="59" spans="1:6">
      <c r="A59" t="str">
        <f>"T120-1"</f>
        <v>T120-1</v>
      </c>
      <c r="B59" t="str">
        <f>"VIALE BERNABO BREA VICINO AL 65A-"</f>
        <v>VIALE BERNABO BREA VICINO AL 65A-</v>
      </c>
      <c r="C59" t="str">
        <f t="shared" si="2"/>
        <v>1</v>
      </c>
      <c r="D59">
        <v>78</v>
      </c>
      <c r="E59" t="str">
        <f>"394"</f>
        <v>394</v>
      </c>
      <c r="F59" t="str">
        <f t="shared" si="5"/>
        <v>0000</v>
      </c>
    </row>
    <row r="60" spans="1:6">
      <c r="A60" t="str">
        <f>"T121-1"</f>
        <v>T121-1</v>
      </c>
      <c r="B60" t="str">
        <f>"VIA MICHELE MARRAS VICINO AL 15-"</f>
        <v>VIA MICHELE MARRAS VICINO AL 15-</v>
      </c>
      <c r="C60" t="str">
        <f t="shared" si="2"/>
        <v>1</v>
      </c>
      <c r="D60">
        <v>78</v>
      </c>
      <c r="E60" t="str">
        <f>"371"</f>
        <v>371</v>
      </c>
      <c r="F60" t="str">
        <f t="shared" si="5"/>
        <v>0000</v>
      </c>
    </row>
    <row r="61" spans="1:6">
      <c r="A61" t="str">
        <f>"T122-1"</f>
        <v>T122-1</v>
      </c>
      <c r="B61" t="str">
        <f>"PIAZZA PALERMO  10B-"</f>
        <v>PIAZZA PALERMO  10B-</v>
      </c>
      <c r="C61" t="str">
        <f>"GEB"</f>
        <v>GEB</v>
      </c>
      <c r="D61">
        <v>64</v>
      </c>
      <c r="E61" t="str">
        <f>"189"</f>
        <v>189</v>
      </c>
      <c r="F61" t="str">
        <f t="shared" si="5"/>
        <v>0000</v>
      </c>
    </row>
    <row r="62" spans="1:6">
      <c r="A62" t="str">
        <f>"T123-1"</f>
        <v>T123-1</v>
      </c>
      <c r="B62" t="str">
        <f>"SALITA SUPERIORE NOCE VICINO AL 33-"</f>
        <v>SALITA SUPERIORE NOCE VICINO AL 33-</v>
      </c>
      <c r="C62" t="str">
        <f t="shared" ref="C62:C93" si="6">"1"</f>
        <v>1</v>
      </c>
      <c r="D62">
        <v>72</v>
      </c>
      <c r="E62" t="str">
        <f>"239"</f>
        <v>239</v>
      </c>
      <c r="F62" t="str">
        <f t="shared" si="5"/>
        <v>0000</v>
      </c>
    </row>
    <row r="63" spans="1:6">
      <c r="A63" t="str">
        <f>"T144-1"</f>
        <v>T144-1</v>
      </c>
      <c r="B63" t="str">
        <f t="shared" ref="B63:B69" si="7">"VIA ARMANDO DIAZ VICINO AL 4-"</f>
        <v>VIA ARMANDO DIAZ VICINO AL 4-</v>
      </c>
      <c r="C63" t="str">
        <f t="shared" si="6"/>
        <v>1</v>
      </c>
      <c r="D63">
        <v>85</v>
      </c>
      <c r="E63" t="str">
        <f>"108"</f>
        <v>108</v>
      </c>
      <c r="F63" t="str">
        <f t="shared" si="5"/>
        <v>0000</v>
      </c>
    </row>
    <row r="64" spans="1:6">
      <c r="A64" t="str">
        <f>"T144-2"</f>
        <v>T144-2</v>
      </c>
      <c r="B64" t="str">
        <f t="shared" si="7"/>
        <v>VIA ARMANDO DIAZ VICINO AL 4-</v>
      </c>
      <c r="C64" t="str">
        <f t="shared" si="6"/>
        <v>1</v>
      </c>
      <c r="D64">
        <v>85</v>
      </c>
      <c r="E64" t="str">
        <f>"155"</f>
        <v>155</v>
      </c>
      <c r="F64" t="str">
        <f t="shared" si="5"/>
        <v>0000</v>
      </c>
    </row>
    <row r="65" spans="1:6">
      <c r="A65" t="str">
        <f>"T144-3"</f>
        <v>T144-3</v>
      </c>
      <c r="B65" t="str">
        <f t="shared" si="7"/>
        <v>VIA ARMANDO DIAZ VICINO AL 4-</v>
      </c>
      <c r="C65" t="str">
        <f t="shared" si="6"/>
        <v>1</v>
      </c>
      <c r="D65">
        <v>85</v>
      </c>
      <c r="E65" t="str">
        <f>"157"</f>
        <v>157</v>
      </c>
      <c r="F65" t="str">
        <f t="shared" si="5"/>
        <v>0000</v>
      </c>
    </row>
    <row r="66" spans="1:6">
      <c r="A66" t="str">
        <f>"T144-4"</f>
        <v>T144-4</v>
      </c>
      <c r="B66" t="str">
        <f t="shared" si="7"/>
        <v>VIA ARMANDO DIAZ VICINO AL 4-</v>
      </c>
      <c r="C66" t="str">
        <f t="shared" si="6"/>
        <v>1</v>
      </c>
      <c r="D66">
        <v>84</v>
      </c>
      <c r="E66" t="str">
        <f>"B"</f>
        <v>B</v>
      </c>
      <c r="F66" t="str">
        <f t="shared" si="5"/>
        <v>0000</v>
      </c>
    </row>
    <row r="67" spans="1:6">
      <c r="A67" t="str">
        <f>"T144-5"</f>
        <v>T144-5</v>
      </c>
      <c r="B67" t="str">
        <f t="shared" si="7"/>
        <v>VIA ARMANDO DIAZ VICINO AL 4-</v>
      </c>
      <c r="C67" t="str">
        <f t="shared" si="6"/>
        <v>1</v>
      </c>
      <c r="D67">
        <v>70</v>
      </c>
      <c r="E67" t="str">
        <f>"275"</f>
        <v>275</v>
      </c>
      <c r="F67" t="str">
        <f t="shared" si="5"/>
        <v>0000</v>
      </c>
    </row>
    <row r="68" spans="1:6">
      <c r="A68" t="str">
        <f>"T144-6"</f>
        <v>T144-6</v>
      </c>
      <c r="B68" t="str">
        <f t="shared" si="7"/>
        <v>VIA ARMANDO DIAZ VICINO AL 4-</v>
      </c>
      <c r="C68" t="str">
        <f t="shared" si="6"/>
        <v>1</v>
      </c>
      <c r="D68">
        <v>85</v>
      </c>
      <c r="E68" t="str">
        <f>"257"</f>
        <v>257</v>
      </c>
      <c r="F68" t="str">
        <f t="shared" si="5"/>
        <v>0000</v>
      </c>
    </row>
    <row r="69" spans="1:6">
      <c r="A69" t="str">
        <f>"T144-7"</f>
        <v>T144-7</v>
      </c>
      <c r="B69" t="str">
        <f t="shared" si="7"/>
        <v>VIA ARMANDO DIAZ VICINO AL 4-</v>
      </c>
      <c r="C69" t="str">
        <f t="shared" si="6"/>
        <v>1</v>
      </c>
      <c r="D69">
        <v>85</v>
      </c>
      <c r="E69" t="str">
        <f>"106"</f>
        <v>106</v>
      </c>
      <c r="F69" t="str">
        <f t="shared" si="5"/>
        <v>0000</v>
      </c>
    </row>
    <row r="70" spans="1:6">
      <c r="A70" t="str">
        <f>"T157-1"</f>
        <v>T157-1</v>
      </c>
      <c r="B70" t="str">
        <f>"VIA MONTALLEGRO VICINO AL 2-"</f>
        <v>VIA MONTALLEGRO VICINO AL 2-</v>
      </c>
      <c r="C70" t="str">
        <f t="shared" si="6"/>
        <v>1</v>
      </c>
      <c r="D70">
        <v>74</v>
      </c>
      <c r="E70" t="str">
        <f>"178"</f>
        <v>178</v>
      </c>
      <c r="F70" t="str">
        <f t="shared" si="5"/>
        <v>0000</v>
      </c>
    </row>
    <row r="71" spans="1:6">
      <c r="A71" t="str">
        <f>"T160-1"</f>
        <v>T160-1</v>
      </c>
      <c r="B71" t="str">
        <f>"VIA MONTALLEGRO VICINO AL 2-"</f>
        <v>VIA MONTALLEGRO VICINO AL 2-</v>
      </c>
      <c r="C71" t="str">
        <f t="shared" si="6"/>
        <v>1</v>
      </c>
      <c r="D71">
        <v>74</v>
      </c>
      <c r="E71" t="str">
        <f>"178"</f>
        <v>178</v>
      </c>
      <c r="F71" t="str">
        <f t="shared" si="5"/>
        <v>0000</v>
      </c>
    </row>
    <row r="72" spans="1:6">
      <c r="A72" t="str">
        <f>"T237-1"</f>
        <v>T237-1</v>
      </c>
      <c r="B72" t="str">
        <f>"CORSO ALDO GASTALDI VICINO AL 7-"</f>
        <v>CORSO ALDO GASTALDI VICINO AL 7-</v>
      </c>
      <c r="C72" t="str">
        <f t="shared" si="6"/>
        <v>1</v>
      </c>
      <c r="D72">
        <v>51</v>
      </c>
      <c r="E72" t="str">
        <f>"157"</f>
        <v>157</v>
      </c>
      <c r="F72" t="str">
        <f t="shared" si="5"/>
        <v>0000</v>
      </c>
    </row>
    <row r="73" spans="1:6">
      <c r="A73" t="str">
        <f>"T237-2"</f>
        <v>T237-2</v>
      </c>
      <c r="B73" t="str">
        <f>"CORSO ALDO GASTALDI VICINO AL 7-"</f>
        <v>CORSO ALDO GASTALDI VICINO AL 7-</v>
      </c>
      <c r="C73" t="str">
        <f t="shared" si="6"/>
        <v>1</v>
      </c>
      <c r="D73">
        <v>71</v>
      </c>
      <c r="E73" t="str">
        <f>"181"</f>
        <v>181</v>
      </c>
      <c r="F73" t="str">
        <f t="shared" si="5"/>
        <v>0000</v>
      </c>
    </row>
    <row r="74" spans="1:6">
      <c r="A74" t="str">
        <f>"T238-1"</f>
        <v>T238-1</v>
      </c>
      <c r="B74" t="str">
        <f>"VIA CARLO D MINORETTI VICINO AL 40-"</f>
        <v>VIA CARLO D MINORETTI VICINO AL 40-</v>
      </c>
      <c r="C74" t="str">
        <f t="shared" si="6"/>
        <v>1</v>
      </c>
      <c r="D74">
        <v>56</v>
      </c>
      <c r="E74" t="str">
        <f>"725"</f>
        <v>725</v>
      </c>
      <c r="F74" t="str">
        <f t="shared" si="5"/>
        <v>0000</v>
      </c>
    </row>
    <row r="75" spans="1:6">
      <c r="A75" t="str">
        <f>"T247-1"</f>
        <v>T247-1</v>
      </c>
      <c r="B75" t="str">
        <f>"VIA MONTALLEGRO  1-"</f>
        <v>VIA MONTALLEGRO  1-</v>
      </c>
      <c r="C75" t="str">
        <f t="shared" si="6"/>
        <v>1</v>
      </c>
      <c r="D75">
        <v>74</v>
      </c>
      <c r="E75" t="str">
        <f>"166"</f>
        <v>166</v>
      </c>
      <c r="F75" t="str">
        <f t="shared" si="5"/>
        <v>0000</v>
      </c>
    </row>
    <row r="76" spans="1:6">
      <c r="A76" t="str">
        <f>"T249-1"</f>
        <v>T249-1</v>
      </c>
      <c r="B76" t="str">
        <f t="shared" ref="B76:B108" si="8">"SALITA SUP DI SANTA TECLA VICINO AL 29F-"</f>
        <v>SALITA SUP DI SANTA TECLA VICINO AL 29F-</v>
      </c>
      <c r="C76" t="str">
        <f t="shared" si="6"/>
        <v>1</v>
      </c>
      <c r="D76">
        <v>41</v>
      </c>
      <c r="E76" t="str">
        <f>"124"</f>
        <v>124</v>
      </c>
      <c r="F76" t="str">
        <f t="shared" si="5"/>
        <v>0000</v>
      </c>
    </row>
    <row r="77" spans="1:6">
      <c r="A77" t="str">
        <f>"T249-2"</f>
        <v>T249-2</v>
      </c>
      <c r="B77" t="str">
        <f t="shared" si="8"/>
        <v>SALITA SUP DI SANTA TECLA VICINO AL 29F-</v>
      </c>
      <c r="C77" t="str">
        <f t="shared" si="6"/>
        <v>1</v>
      </c>
      <c r="D77">
        <v>41</v>
      </c>
      <c r="E77" t="str">
        <f>"125"</f>
        <v>125</v>
      </c>
      <c r="F77" t="str">
        <f t="shared" si="5"/>
        <v>0000</v>
      </c>
    </row>
    <row r="78" spans="1:6">
      <c r="A78" t="str">
        <f>"T249-3"</f>
        <v>T249-3</v>
      </c>
      <c r="B78" t="str">
        <f t="shared" si="8"/>
        <v>SALITA SUP DI SANTA TECLA VICINO AL 29F-</v>
      </c>
      <c r="C78" t="str">
        <f t="shared" si="6"/>
        <v>1</v>
      </c>
      <c r="D78">
        <v>41</v>
      </c>
      <c r="E78" t="str">
        <f>"127"</f>
        <v>127</v>
      </c>
      <c r="F78" t="str">
        <f t="shared" si="5"/>
        <v>0000</v>
      </c>
    </row>
    <row r="79" spans="1:6">
      <c r="A79" t="str">
        <f>"T249-4"</f>
        <v>T249-4</v>
      </c>
      <c r="B79" t="str">
        <f t="shared" si="8"/>
        <v>SALITA SUP DI SANTA TECLA VICINO AL 29F-</v>
      </c>
      <c r="C79" t="str">
        <f t="shared" si="6"/>
        <v>1</v>
      </c>
      <c r="D79">
        <v>41</v>
      </c>
      <c r="E79" t="str">
        <f>"135"</f>
        <v>135</v>
      </c>
      <c r="F79" t="str">
        <f t="shared" si="5"/>
        <v>0000</v>
      </c>
    </row>
    <row r="80" spans="1:6">
      <c r="A80" t="str">
        <f>"T249-5"</f>
        <v>T249-5</v>
      </c>
      <c r="B80" t="str">
        <f t="shared" si="8"/>
        <v>SALITA SUP DI SANTA TECLA VICINO AL 29F-</v>
      </c>
      <c r="C80" t="str">
        <f t="shared" si="6"/>
        <v>1</v>
      </c>
      <c r="D80">
        <v>41</v>
      </c>
      <c r="E80" t="str">
        <f>"140"</f>
        <v>140</v>
      </c>
      <c r="F80" t="str">
        <f t="shared" si="5"/>
        <v>0000</v>
      </c>
    </row>
    <row r="81" spans="1:6">
      <c r="A81" t="str">
        <f>"T249-6"</f>
        <v>T249-6</v>
      </c>
      <c r="B81" t="str">
        <f t="shared" si="8"/>
        <v>SALITA SUP DI SANTA TECLA VICINO AL 29F-</v>
      </c>
      <c r="C81" t="str">
        <f t="shared" si="6"/>
        <v>1</v>
      </c>
      <c r="D81">
        <v>41</v>
      </c>
      <c r="E81" t="str">
        <f>"141"</f>
        <v>141</v>
      </c>
      <c r="F81" t="str">
        <f t="shared" si="5"/>
        <v>0000</v>
      </c>
    </row>
    <row r="82" spans="1:6">
      <c r="A82" t="str">
        <f>"T249-7"</f>
        <v>T249-7</v>
      </c>
      <c r="B82" t="str">
        <f t="shared" si="8"/>
        <v>SALITA SUP DI SANTA TECLA VICINO AL 29F-</v>
      </c>
      <c r="C82" t="str">
        <f t="shared" si="6"/>
        <v>1</v>
      </c>
      <c r="D82">
        <v>41</v>
      </c>
      <c r="E82" t="str">
        <f>"128"</f>
        <v>128</v>
      </c>
      <c r="F82" t="str">
        <f t="shared" si="5"/>
        <v>0000</v>
      </c>
    </row>
    <row r="83" spans="1:6">
      <c r="A83" t="str">
        <f>"T249-8"</f>
        <v>T249-8</v>
      </c>
      <c r="B83" t="str">
        <f t="shared" si="8"/>
        <v>SALITA SUP DI SANTA TECLA VICINO AL 29F-</v>
      </c>
      <c r="C83" t="str">
        <f t="shared" si="6"/>
        <v>1</v>
      </c>
      <c r="D83">
        <v>41</v>
      </c>
      <c r="E83" t="str">
        <f>"219"</f>
        <v>219</v>
      </c>
      <c r="F83" t="str">
        <f t="shared" si="5"/>
        <v>0000</v>
      </c>
    </row>
    <row r="84" spans="1:6">
      <c r="A84" t="str">
        <f>"T249-9"</f>
        <v>T249-9</v>
      </c>
      <c r="B84" t="str">
        <f t="shared" si="8"/>
        <v>SALITA SUP DI SANTA TECLA VICINO AL 29F-</v>
      </c>
      <c r="C84" t="str">
        <f t="shared" si="6"/>
        <v>1</v>
      </c>
      <c r="D84">
        <v>41</v>
      </c>
      <c r="E84" t="str">
        <f>"220"</f>
        <v>220</v>
      </c>
      <c r="F84" t="str">
        <f t="shared" si="5"/>
        <v>0000</v>
      </c>
    </row>
    <row r="85" spans="1:6">
      <c r="A85" t="str">
        <f>"T249-10"</f>
        <v>T249-10</v>
      </c>
      <c r="B85" t="str">
        <f t="shared" si="8"/>
        <v>SALITA SUP DI SANTA TECLA VICINO AL 29F-</v>
      </c>
      <c r="C85" t="str">
        <f t="shared" si="6"/>
        <v>1</v>
      </c>
      <c r="D85">
        <v>41</v>
      </c>
      <c r="E85" t="str">
        <f>"129"</f>
        <v>129</v>
      </c>
      <c r="F85" t="str">
        <f t="shared" si="5"/>
        <v>0000</v>
      </c>
    </row>
    <row r="86" spans="1:6">
      <c r="A86" t="str">
        <f>"T249-11"</f>
        <v>T249-11</v>
      </c>
      <c r="B86" t="str">
        <f t="shared" si="8"/>
        <v>SALITA SUP DI SANTA TECLA VICINO AL 29F-</v>
      </c>
      <c r="C86" t="str">
        <f t="shared" si="6"/>
        <v>1</v>
      </c>
      <c r="D86">
        <v>41</v>
      </c>
      <c r="E86" t="str">
        <f>"147"</f>
        <v>147</v>
      </c>
      <c r="F86" t="str">
        <f t="shared" si="5"/>
        <v>0000</v>
      </c>
    </row>
    <row r="87" spans="1:6">
      <c r="A87" t="str">
        <f>"T249-12"</f>
        <v>T249-12</v>
      </c>
      <c r="B87" t="str">
        <f t="shared" si="8"/>
        <v>SALITA SUP DI SANTA TECLA VICINO AL 29F-</v>
      </c>
      <c r="C87" t="str">
        <f t="shared" si="6"/>
        <v>1</v>
      </c>
      <c r="D87">
        <v>41</v>
      </c>
      <c r="E87" t="str">
        <f>"149"</f>
        <v>149</v>
      </c>
      <c r="F87" t="str">
        <f t="shared" si="5"/>
        <v>0000</v>
      </c>
    </row>
    <row r="88" spans="1:6">
      <c r="A88" t="str">
        <f>"T249-13"</f>
        <v>T249-13</v>
      </c>
      <c r="B88" t="str">
        <f t="shared" si="8"/>
        <v>SALITA SUP DI SANTA TECLA VICINO AL 29F-</v>
      </c>
      <c r="C88" t="str">
        <f t="shared" si="6"/>
        <v>1</v>
      </c>
      <c r="D88">
        <v>41</v>
      </c>
      <c r="E88" t="str">
        <f>"105"</f>
        <v>105</v>
      </c>
      <c r="F88" t="str">
        <f t="shared" ref="F88:F119" si="9">"0000"</f>
        <v>0000</v>
      </c>
    </row>
    <row r="89" spans="1:6">
      <c r="A89" t="str">
        <f>"T249-14"</f>
        <v>T249-14</v>
      </c>
      <c r="B89" t="str">
        <f t="shared" si="8"/>
        <v>SALITA SUP DI SANTA TECLA VICINO AL 29F-</v>
      </c>
      <c r="C89" t="str">
        <f t="shared" si="6"/>
        <v>1</v>
      </c>
      <c r="D89">
        <v>41</v>
      </c>
      <c r="E89" t="str">
        <f>"106"</f>
        <v>106</v>
      </c>
      <c r="F89" t="str">
        <f t="shared" si="9"/>
        <v>0000</v>
      </c>
    </row>
    <row r="90" spans="1:6">
      <c r="A90" t="str">
        <f>"T249-15"</f>
        <v>T249-15</v>
      </c>
      <c r="B90" t="str">
        <f t="shared" si="8"/>
        <v>SALITA SUP DI SANTA TECLA VICINO AL 29F-</v>
      </c>
      <c r="C90" t="str">
        <f t="shared" si="6"/>
        <v>1</v>
      </c>
      <c r="D90">
        <v>41</v>
      </c>
      <c r="E90" t="str">
        <f>"107"</f>
        <v>107</v>
      </c>
      <c r="F90" t="str">
        <f t="shared" si="9"/>
        <v>0000</v>
      </c>
    </row>
    <row r="91" spans="1:6">
      <c r="A91" t="str">
        <f>"T249-16"</f>
        <v>T249-16</v>
      </c>
      <c r="B91" t="str">
        <f t="shared" si="8"/>
        <v>SALITA SUP DI SANTA TECLA VICINO AL 29F-</v>
      </c>
      <c r="C91" t="str">
        <f t="shared" si="6"/>
        <v>1</v>
      </c>
      <c r="D91">
        <v>41</v>
      </c>
      <c r="E91" t="str">
        <f>"218"</f>
        <v>218</v>
      </c>
      <c r="F91" t="str">
        <f t="shared" si="9"/>
        <v>0000</v>
      </c>
    </row>
    <row r="92" spans="1:6">
      <c r="A92" t="str">
        <f>"T249-17"</f>
        <v>T249-17</v>
      </c>
      <c r="B92" t="str">
        <f t="shared" si="8"/>
        <v>SALITA SUP DI SANTA TECLA VICINO AL 29F-</v>
      </c>
      <c r="C92" t="str">
        <f t="shared" si="6"/>
        <v>1</v>
      </c>
      <c r="D92">
        <v>41</v>
      </c>
      <c r="E92" t="str">
        <f>"144"</f>
        <v>144</v>
      </c>
      <c r="F92" t="str">
        <f t="shared" si="9"/>
        <v>0000</v>
      </c>
    </row>
    <row r="93" spans="1:6">
      <c r="A93" t="str">
        <f>"T249-18"</f>
        <v>T249-18</v>
      </c>
      <c r="B93" t="str">
        <f t="shared" si="8"/>
        <v>SALITA SUP DI SANTA TECLA VICINO AL 29F-</v>
      </c>
      <c r="C93" t="str">
        <f t="shared" si="6"/>
        <v>1</v>
      </c>
      <c r="D93">
        <v>41</v>
      </c>
      <c r="E93" t="str">
        <f>"176"</f>
        <v>176</v>
      </c>
      <c r="F93" t="str">
        <f t="shared" si="9"/>
        <v>0000</v>
      </c>
    </row>
    <row r="94" spans="1:6">
      <c r="A94" t="str">
        <f>"T249-19"</f>
        <v>T249-19</v>
      </c>
      <c r="B94" t="str">
        <f t="shared" si="8"/>
        <v>SALITA SUP DI SANTA TECLA VICINO AL 29F-</v>
      </c>
      <c r="C94" t="str">
        <f t="shared" ref="C94:C125" si="10">"1"</f>
        <v>1</v>
      </c>
      <c r="D94">
        <v>41</v>
      </c>
      <c r="E94" t="str">
        <f>"145"</f>
        <v>145</v>
      </c>
      <c r="F94" t="str">
        <f t="shared" si="9"/>
        <v>0000</v>
      </c>
    </row>
    <row r="95" spans="1:6">
      <c r="A95" t="str">
        <f>"T249-20"</f>
        <v>T249-20</v>
      </c>
      <c r="B95" t="str">
        <f t="shared" si="8"/>
        <v>SALITA SUP DI SANTA TECLA VICINO AL 29F-</v>
      </c>
      <c r="C95" t="str">
        <f t="shared" si="10"/>
        <v>1</v>
      </c>
      <c r="D95">
        <v>41</v>
      </c>
      <c r="E95" t="str">
        <f>"146"</f>
        <v>146</v>
      </c>
      <c r="F95" t="str">
        <f t="shared" si="9"/>
        <v>0000</v>
      </c>
    </row>
    <row r="96" spans="1:6">
      <c r="A96" t="str">
        <f>"T249-21"</f>
        <v>T249-21</v>
      </c>
      <c r="B96" t="str">
        <f t="shared" si="8"/>
        <v>SALITA SUP DI SANTA TECLA VICINO AL 29F-</v>
      </c>
      <c r="C96" t="str">
        <f t="shared" si="10"/>
        <v>1</v>
      </c>
      <c r="D96">
        <v>41</v>
      </c>
      <c r="E96" t="str">
        <f>"180"</f>
        <v>180</v>
      </c>
      <c r="F96" t="str">
        <f t="shared" si="9"/>
        <v>0000</v>
      </c>
    </row>
    <row r="97" spans="1:6">
      <c r="A97" t="str">
        <f>"T249-22"</f>
        <v>T249-22</v>
      </c>
      <c r="B97" t="str">
        <f t="shared" si="8"/>
        <v>SALITA SUP DI SANTA TECLA VICINO AL 29F-</v>
      </c>
      <c r="C97" t="str">
        <f t="shared" si="10"/>
        <v>1</v>
      </c>
      <c r="D97">
        <v>41</v>
      </c>
      <c r="E97" t="str">
        <f>"196"</f>
        <v>196</v>
      </c>
      <c r="F97" t="str">
        <f t="shared" si="9"/>
        <v>0000</v>
      </c>
    </row>
    <row r="98" spans="1:6">
      <c r="A98" t="str">
        <f>"T249-23"</f>
        <v>T249-23</v>
      </c>
      <c r="B98" t="str">
        <f t="shared" si="8"/>
        <v>SALITA SUP DI SANTA TECLA VICINO AL 29F-</v>
      </c>
      <c r="C98" t="str">
        <f t="shared" si="10"/>
        <v>1</v>
      </c>
      <c r="D98">
        <v>41</v>
      </c>
      <c r="E98" t="str">
        <f>"197"</f>
        <v>197</v>
      </c>
      <c r="F98" t="str">
        <f t="shared" si="9"/>
        <v>0000</v>
      </c>
    </row>
    <row r="99" spans="1:6">
      <c r="A99" t="str">
        <f>"T249-24"</f>
        <v>T249-24</v>
      </c>
      <c r="B99" t="str">
        <f t="shared" si="8"/>
        <v>SALITA SUP DI SANTA TECLA VICINO AL 29F-</v>
      </c>
      <c r="C99" t="str">
        <f t="shared" si="10"/>
        <v>1</v>
      </c>
      <c r="D99">
        <v>41</v>
      </c>
      <c r="E99" t="str">
        <f>"148"</f>
        <v>148</v>
      </c>
      <c r="F99" t="str">
        <f t="shared" si="9"/>
        <v>0000</v>
      </c>
    </row>
    <row r="100" spans="1:6">
      <c r="A100" t="str">
        <f>"T249-25"</f>
        <v>T249-25</v>
      </c>
      <c r="B100" t="str">
        <f t="shared" si="8"/>
        <v>SALITA SUP DI SANTA TECLA VICINO AL 29F-</v>
      </c>
      <c r="C100" t="str">
        <f t="shared" si="10"/>
        <v>1</v>
      </c>
      <c r="D100">
        <v>41</v>
      </c>
      <c r="E100" t="str">
        <f>"155"</f>
        <v>155</v>
      </c>
      <c r="F100" t="str">
        <f t="shared" si="9"/>
        <v>0000</v>
      </c>
    </row>
    <row r="101" spans="1:6">
      <c r="A101" t="str">
        <f>"T249-26"</f>
        <v>T249-26</v>
      </c>
      <c r="B101" t="str">
        <f t="shared" si="8"/>
        <v>SALITA SUP DI SANTA TECLA VICINO AL 29F-</v>
      </c>
      <c r="C101" t="str">
        <f t="shared" si="10"/>
        <v>1</v>
      </c>
      <c r="D101">
        <v>41</v>
      </c>
      <c r="E101" t="str">
        <f>"181"</f>
        <v>181</v>
      </c>
      <c r="F101" t="str">
        <f t="shared" si="9"/>
        <v>0000</v>
      </c>
    </row>
    <row r="102" spans="1:6">
      <c r="A102" t="str">
        <f>"T249-28"</f>
        <v>T249-28</v>
      </c>
      <c r="B102" t="str">
        <f t="shared" si="8"/>
        <v>SALITA SUP DI SANTA TECLA VICINO AL 29F-</v>
      </c>
      <c r="C102" t="str">
        <f t="shared" si="10"/>
        <v>1</v>
      </c>
      <c r="D102">
        <v>41</v>
      </c>
      <c r="E102" t="str">
        <f>"192"</f>
        <v>192</v>
      </c>
      <c r="F102" t="str">
        <f t="shared" si="9"/>
        <v>0000</v>
      </c>
    </row>
    <row r="103" spans="1:6">
      <c r="A103" t="str">
        <f>"T249-29"</f>
        <v>T249-29</v>
      </c>
      <c r="B103" t="str">
        <f t="shared" si="8"/>
        <v>SALITA SUP DI SANTA TECLA VICINO AL 29F-</v>
      </c>
      <c r="C103" t="str">
        <f t="shared" si="10"/>
        <v>1</v>
      </c>
      <c r="D103">
        <v>41</v>
      </c>
      <c r="E103" t="str">
        <f>"156"</f>
        <v>156</v>
      </c>
      <c r="F103" t="str">
        <f t="shared" si="9"/>
        <v>0000</v>
      </c>
    </row>
    <row r="104" spans="1:6">
      <c r="A104" t="str">
        <f>"T249-30"</f>
        <v>T249-30</v>
      </c>
      <c r="B104" t="str">
        <f t="shared" si="8"/>
        <v>SALITA SUP DI SANTA TECLA VICINO AL 29F-</v>
      </c>
      <c r="C104" t="str">
        <f t="shared" si="10"/>
        <v>1</v>
      </c>
      <c r="D104">
        <v>41</v>
      </c>
      <c r="E104" t="str">
        <f>"157"</f>
        <v>157</v>
      </c>
      <c r="F104" t="str">
        <f t="shared" si="9"/>
        <v>0000</v>
      </c>
    </row>
    <row r="105" spans="1:6">
      <c r="A105" t="str">
        <f>"T249-31"</f>
        <v>T249-31</v>
      </c>
      <c r="B105" t="str">
        <f t="shared" si="8"/>
        <v>SALITA SUP DI SANTA TECLA VICINO AL 29F-</v>
      </c>
      <c r="C105" t="str">
        <f t="shared" si="10"/>
        <v>1</v>
      </c>
      <c r="D105">
        <v>41</v>
      </c>
      <c r="E105" t="str">
        <f>"154"</f>
        <v>154</v>
      </c>
      <c r="F105" t="str">
        <f t="shared" si="9"/>
        <v>0000</v>
      </c>
    </row>
    <row r="106" spans="1:6">
      <c r="A106" t="str">
        <f>"T249-32"</f>
        <v>T249-32</v>
      </c>
      <c r="B106" t="str">
        <f t="shared" si="8"/>
        <v>SALITA SUP DI SANTA TECLA VICINO AL 29F-</v>
      </c>
      <c r="C106" t="str">
        <f t="shared" si="10"/>
        <v>1</v>
      </c>
      <c r="D106">
        <v>41</v>
      </c>
      <c r="E106" t="str">
        <f>"184"</f>
        <v>184</v>
      </c>
      <c r="F106" t="str">
        <f t="shared" si="9"/>
        <v>0000</v>
      </c>
    </row>
    <row r="107" spans="1:6">
      <c r="A107" t="str">
        <f>"T249-35"</f>
        <v>T249-35</v>
      </c>
      <c r="B107" t="str">
        <f t="shared" si="8"/>
        <v>SALITA SUP DI SANTA TECLA VICINO AL 29F-</v>
      </c>
      <c r="C107" t="str">
        <f t="shared" si="10"/>
        <v>1</v>
      </c>
      <c r="D107">
        <v>41</v>
      </c>
      <c r="E107" t="str">
        <f>"773"</f>
        <v>773</v>
      </c>
      <c r="F107" t="str">
        <f t="shared" si="9"/>
        <v>0000</v>
      </c>
    </row>
    <row r="108" spans="1:6">
      <c r="A108" t="str">
        <f>"T249-37"</f>
        <v>T249-37</v>
      </c>
      <c r="B108" t="str">
        <f t="shared" si="8"/>
        <v>SALITA SUP DI SANTA TECLA VICINO AL 29F-</v>
      </c>
      <c r="C108" t="str">
        <f t="shared" si="10"/>
        <v>1</v>
      </c>
      <c r="D108">
        <v>41</v>
      </c>
      <c r="E108" t="str">
        <f>"776"</f>
        <v>776</v>
      </c>
      <c r="F108" t="str">
        <f t="shared" si="9"/>
        <v>0000</v>
      </c>
    </row>
    <row r="109" spans="1:6">
      <c r="A109" t="str">
        <f>"T259-1"</f>
        <v>T259-1</v>
      </c>
      <c r="B109" t="str">
        <f>"VIA NIZZA VICINO AL 7-"</f>
        <v>VIA NIZZA VICINO AL 7-</v>
      </c>
      <c r="C109" t="str">
        <f t="shared" si="10"/>
        <v>1</v>
      </c>
      <c r="D109">
        <v>86</v>
      </c>
      <c r="E109" t="str">
        <f>"382"</f>
        <v>382</v>
      </c>
      <c r="F109" t="str">
        <f t="shared" si="9"/>
        <v>0000</v>
      </c>
    </row>
    <row r="110" spans="1:6">
      <c r="A110" t="str">
        <f>"T259-2"</f>
        <v>T259-2</v>
      </c>
      <c r="B110" t="str">
        <f>"VIA NIZZA VICINO AL 7-"</f>
        <v>VIA NIZZA VICINO AL 7-</v>
      </c>
      <c r="C110" t="str">
        <f t="shared" si="10"/>
        <v>1</v>
      </c>
      <c r="D110">
        <v>87</v>
      </c>
      <c r="E110" t="str">
        <f>"20"</f>
        <v>20</v>
      </c>
      <c r="F110" t="str">
        <f t="shared" si="9"/>
        <v>0000</v>
      </c>
    </row>
    <row r="111" spans="1:6">
      <c r="A111" t="str">
        <f>"T261-1"</f>
        <v>T261-1</v>
      </c>
      <c r="B111" t="str">
        <f>"VIA TRENTO VICINO AL 41-"</f>
        <v>VIA TRENTO VICINO AL 41-</v>
      </c>
      <c r="C111" t="str">
        <f t="shared" si="10"/>
        <v>1</v>
      </c>
      <c r="D111">
        <v>86</v>
      </c>
      <c r="E111" t="str">
        <f>"604"</f>
        <v>604</v>
      </c>
      <c r="F111" t="str">
        <f t="shared" si="9"/>
        <v>0000</v>
      </c>
    </row>
    <row r="112" spans="1:6">
      <c r="A112" t="str">
        <f>"T261-2"</f>
        <v>T261-2</v>
      </c>
      <c r="B112" t="str">
        <f>"VIA TRENTO VICINO AL 41-"</f>
        <v>VIA TRENTO VICINO AL 41-</v>
      </c>
      <c r="C112" t="str">
        <f t="shared" si="10"/>
        <v>1</v>
      </c>
      <c r="D112">
        <v>86</v>
      </c>
      <c r="E112" t="str">
        <f>"600"</f>
        <v>600</v>
      </c>
      <c r="F112" t="str">
        <f t="shared" si="9"/>
        <v>0000</v>
      </c>
    </row>
    <row r="113" spans="1:6">
      <c r="A113" t="str">
        <f>"T261-3"</f>
        <v>T261-3</v>
      </c>
      <c r="B113" t="str">
        <f>"VIA TRENTO VICINO AL 41-"</f>
        <v>VIA TRENTO VICINO AL 41-</v>
      </c>
      <c r="C113" t="str">
        <f t="shared" si="10"/>
        <v>1</v>
      </c>
      <c r="D113">
        <v>86</v>
      </c>
      <c r="E113" t="str">
        <f>"499"</f>
        <v>499</v>
      </c>
      <c r="F113" t="str">
        <f t="shared" si="9"/>
        <v>0000</v>
      </c>
    </row>
    <row r="114" spans="1:6">
      <c r="A114" t="str">
        <f>"T261-4"</f>
        <v>T261-4</v>
      </c>
      <c r="B114" t="str">
        <f>"VIA TRENTO VICINO AL 41-"</f>
        <v>VIA TRENTO VICINO AL 41-</v>
      </c>
      <c r="C114" t="str">
        <f t="shared" si="10"/>
        <v>1</v>
      </c>
      <c r="D114">
        <v>86</v>
      </c>
      <c r="E114" t="str">
        <f>"517"</f>
        <v>517</v>
      </c>
      <c r="F114" t="str">
        <f t="shared" si="9"/>
        <v>0000</v>
      </c>
    </row>
    <row r="115" spans="1:6">
      <c r="A115" t="str">
        <f>"T265-1"</f>
        <v>T265-1</v>
      </c>
      <c r="B115" t="str">
        <f>"VIA PISA VICINO AL 8-"</f>
        <v>VIA PISA VICINO AL 8-</v>
      </c>
      <c r="C115" t="str">
        <f t="shared" si="10"/>
        <v>1</v>
      </c>
      <c r="D115">
        <v>74</v>
      </c>
      <c r="E115" t="str">
        <f>"487"</f>
        <v>487</v>
      </c>
      <c r="F115" t="str">
        <f t="shared" si="9"/>
        <v>0000</v>
      </c>
    </row>
    <row r="116" spans="1:6">
      <c r="A116" t="str">
        <f>"T265-2"</f>
        <v>T265-2</v>
      </c>
      <c r="B116" t="str">
        <f>"VIA PISA VICINO AL 8-"</f>
        <v>VIA PISA VICINO AL 8-</v>
      </c>
      <c r="C116" t="str">
        <f t="shared" si="10"/>
        <v>1</v>
      </c>
      <c r="D116">
        <v>74</v>
      </c>
      <c r="E116" t="str">
        <f>"482"</f>
        <v>482</v>
      </c>
      <c r="F116" t="str">
        <f t="shared" si="9"/>
        <v>0000</v>
      </c>
    </row>
    <row r="117" spans="1:6">
      <c r="A117" t="str">
        <f>"T265-3"</f>
        <v>T265-3</v>
      </c>
      <c r="B117" t="str">
        <f>"VIA PISA VICINO AL 8-"</f>
        <v>VIA PISA VICINO AL 8-</v>
      </c>
      <c r="C117" t="str">
        <f t="shared" si="10"/>
        <v>1</v>
      </c>
      <c r="D117">
        <v>74</v>
      </c>
      <c r="E117" t="str">
        <f>"483"</f>
        <v>483</v>
      </c>
      <c r="F117" t="str">
        <f t="shared" si="9"/>
        <v>0000</v>
      </c>
    </row>
    <row r="118" spans="1:6">
      <c r="A118" t="str">
        <f>"T265-4"</f>
        <v>T265-4</v>
      </c>
      <c r="B118" t="str">
        <f>"VIA PISA VICINO AL 8-"</f>
        <v>VIA PISA VICINO AL 8-</v>
      </c>
      <c r="C118" t="str">
        <f t="shared" si="10"/>
        <v>1</v>
      </c>
      <c r="D118">
        <v>74</v>
      </c>
      <c r="E118" t="str">
        <f>"484"</f>
        <v>484</v>
      </c>
      <c r="F118" t="str">
        <f t="shared" si="9"/>
        <v>0000</v>
      </c>
    </row>
    <row r="119" spans="1:6">
      <c r="A119" t="str">
        <f>"T265-5"</f>
        <v>T265-5</v>
      </c>
      <c r="B119" t="str">
        <f>"VIA PISA VICINO AL 8-"</f>
        <v>VIA PISA VICINO AL 8-</v>
      </c>
      <c r="C119" t="str">
        <f t="shared" si="10"/>
        <v>1</v>
      </c>
      <c r="D119">
        <v>74</v>
      </c>
      <c r="E119" t="str">
        <f>"486"</f>
        <v>486</v>
      </c>
      <c r="F119" t="str">
        <f t="shared" si="9"/>
        <v>0000</v>
      </c>
    </row>
    <row r="120" spans="1:6">
      <c r="A120" t="str">
        <f>"T266-2"</f>
        <v>T266-2</v>
      </c>
      <c r="B120" t="str">
        <f>"VIA PISA VICINO AL 24-"</f>
        <v>VIA PISA VICINO AL 24-</v>
      </c>
      <c r="C120" t="str">
        <f t="shared" si="10"/>
        <v>1</v>
      </c>
      <c r="D120">
        <v>74</v>
      </c>
      <c r="E120" t="str">
        <f>"305"</f>
        <v>305</v>
      </c>
      <c r="F120" t="str">
        <f t="shared" ref="F120:F133" si="11">"0000"</f>
        <v>0000</v>
      </c>
    </row>
    <row r="121" spans="1:6">
      <c r="A121" t="str">
        <f>"T266-3"</f>
        <v>T266-3</v>
      </c>
      <c r="B121" t="str">
        <f>"VIA PISA VICINO AL 24-"</f>
        <v>VIA PISA VICINO AL 24-</v>
      </c>
      <c r="C121" t="str">
        <f t="shared" si="10"/>
        <v>1</v>
      </c>
      <c r="D121">
        <v>74</v>
      </c>
      <c r="E121" t="str">
        <f>"447"</f>
        <v>447</v>
      </c>
      <c r="F121" t="str">
        <f t="shared" si="11"/>
        <v>0000</v>
      </c>
    </row>
    <row r="122" spans="1:6">
      <c r="A122" t="str">
        <f>"T266-4"</f>
        <v>T266-4</v>
      </c>
      <c r="B122" t="str">
        <f>"VIA PISA VICINO AL 24-"</f>
        <v>VIA PISA VICINO AL 24-</v>
      </c>
      <c r="C122" t="str">
        <f t="shared" si="10"/>
        <v>1</v>
      </c>
      <c r="D122">
        <v>74</v>
      </c>
      <c r="E122" t="str">
        <f>"446"</f>
        <v>446</v>
      </c>
      <c r="F122" t="str">
        <f t="shared" si="11"/>
        <v>0000</v>
      </c>
    </row>
    <row r="123" spans="1:6">
      <c r="A123" t="str">
        <f>"T266-5"</f>
        <v>T266-5</v>
      </c>
      <c r="B123" t="str">
        <f>"VIA PISA VICINO AL 24-"</f>
        <v>VIA PISA VICINO AL 24-</v>
      </c>
      <c r="C123" t="str">
        <f t="shared" si="10"/>
        <v>1</v>
      </c>
      <c r="D123">
        <v>74</v>
      </c>
      <c r="E123" t="str">
        <f>"445"</f>
        <v>445</v>
      </c>
      <c r="F123" t="str">
        <f t="shared" si="11"/>
        <v>0000</v>
      </c>
    </row>
    <row r="124" spans="1:6">
      <c r="A124" t="str">
        <f>"T268-1"</f>
        <v>T268-1</v>
      </c>
      <c r="B124" t="str">
        <f>"CORSO ITALIA VICINO AL 3A-"</f>
        <v>CORSO ITALIA VICINO AL 3A-</v>
      </c>
      <c r="C124" t="str">
        <f t="shared" si="10"/>
        <v>1</v>
      </c>
      <c r="D124">
        <v>89</v>
      </c>
      <c r="E124" t="str">
        <f>"225"</f>
        <v>225</v>
      </c>
      <c r="F124" t="str">
        <f t="shared" si="11"/>
        <v>0000</v>
      </c>
    </row>
    <row r="125" spans="1:6">
      <c r="A125" t="str">
        <f>"T268-2"</f>
        <v>T268-2</v>
      </c>
      <c r="B125" t="str">
        <f>"CORSO ITALIA VICINO AL 3A-"</f>
        <v>CORSO ITALIA VICINO AL 3A-</v>
      </c>
      <c r="C125" t="str">
        <f t="shared" si="10"/>
        <v>1</v>
      </c>
      <c r="D125">
        <v>89</v>
      </c>
      <c r="E125" t="str">
        <f>"259"</f>
        <v>259</v>
      </c>
      <c r="F125" t="str">
        <f t="shared" si="11"/>
        <v>0000</v>
      </c>
    </row>
    <row r="126" spans="1:6">
      <c r="A126" t="str">
        <f>"T268-3"</f>
        <v>T268-3</v>
      </c>
      <c r="B126" t="str">
        <f>"CORSO ITALIA VICINO AL 3A-"</f>
        <v>CORSO ITALIA VICINO AL 3A-</v>
      </c>
      <c r="C126" t="str">
        <f t="shared" ref="C126:C135" si="12">"1"</f>
        <v>1</v>
      </c>
      <c r="D126">
        <v>89</v>
      </c>
      <c r="E126" t="str">
        <f>"272"</f>
        <v>272</v>
      </c>
      <c r="F126" t="str">
        <f t="shared" si="11"/>
        <v>0000</v>
      </c>
    </row>
    <row r="127" spans="1:6">
      <c r="A127" t="str">
        <f>"T268-4"</f>
        <v>T268-4</v>
      </c>
      <c r="B127" t="str">
        <f>"CORSO ITALIA VICINO AL 3A-"</f>
        <v>CORSO ITALIA VICINO AL 3A-</v>
      </c>
      <c r="C127" t="str">
        <f t="shared" si="12"/>
        <v>1</v>
      </c>
      <c r="D127">
        <v>89</v>
      </c>
      <c r="E127" t="str">
        <f>"99999"</f>
        <v>99999</v>
      </c>
      <c r="F127" t="str">
        <f t="shared" si="11"/>
        <v>0000</v>
      </c>
    </row>
    <row r="128" spans="1:6">
      <c r="A128" t="str">
        <f>"T379-1"</f>
        <v>T379-1</v>
      </c>
      <c r="B128" t="str">
        <f>"VIA ZARA VICINO AL 10R-"</f>
        <v>VIA ZARA VICINO AL 10R-</v>
      </c>
      <c r="C128" t="str">
        <f t="shared" si="12"/>
        <v>1</v>
      </c>
      <c r="D128">
        <v>89</v>
      </c>
      <c r="E128" t="str">
        <f>"139"</f>
        <v>139</v>
      </c>
      <c r="F128" t="str">
        <f t="shared" si="11"/>
        <v>0000</v>
      </c>
    </row>
    <row r="129" spans="1:6">
      <c r="A129" t="str">
        <f>"T379-3"</f>
        <v>T379-3</v>
      </c>
      <c r="B129" t="str">
        <f>"VIA ZARA VICINO AL 10R-"</f>
        <v>VIA ZARA VICINO AL 10R-</v>
      </c>
      <c r="C129" t="str">
        <f t="shared" si="12"/>
        <v>1</v>
      </c>
      <c r="D129">
        <v>89</v>
      </c>
      <c r="E129" t="str">
        <f>"141"</f>
        <v>141</v>
      </c>
      <c r="F129" t="str">
        <f t="shared" si="11"/>
        <v>0000</v>
      </c>
    </row>
    <row r="130" spans="1:6">
      <c r="A130" t="str">
        <f>"T379-6"</f>
        <v>T379-6</v>
      </c>
      <c r="B130" t="str">
        <f>"VIA ZARA VICINO AL 10R-"</f>
        <v>VIA ZARA VICINO AL 10R-</v>
      </c>
      <c r="C130" t="str">
        <f t="shared" si="12"/>
        <v>1</v>
      </c>
      <c r="D130">
        <v>89</v>
      </c>
      <c r="E130" t="str">
        <f>"144"</f>
        <v>144</v>
      </c>
      <c r="F130" t="str">
        <f t="shared" si="11"/>
        <v>0000</v>
      </c>
    </row>
    <row r="131" spans="1:6">
      <c r="A131" t="str">
        <f>"T379-10"</f>
        <v>T379-10</v>
      </c>
      <c r="B131" t="str">
        <f>"VIA ZARA VICINO AL 10R-"</f>
        <v>VIA ZARA VICINO AL 10R-</v>
      </c>
      <c r="C131" t="str">
        <f t="shared" si="12"/>
        <v>1</v>
      </c>
      <c r="D131">
        <v>89</v>
      </c>
      <c r="E131" t="str">
        <f>"151"</f>
        <v>151</v>
      </c>
      <c r="F131" t="str">
        <f t="shared" si="11"/>
        <v>0000</v>
      </c>
    </row>
    <row r="132" spans="1:6">
      <c r="A132" t="str">
        <f>"T386-1"</f>
        <v>T386-1</v>
      </c>
      <c r="B132" t="str">
        <f>"LARGO ARCHIMEDE  2-"</f>
        <v>LARGO ARCHIMEDE  2-</v>
      </c>
      <c r="C132" t="str">
        <f t="shared" si="12"/>
        <v>1</v>
      </c>
      <c r="D132">
        <v>70</v>
      </c>
      <c r="E132" t="str">
        <f>"359"</f>
        <v>359</v>
      </c>
      <c r="F132" t="str">
        <f t="shared" si="11"/>
        <v>0000</v>
      </c>
    </row>
    <row r="133" spans="1:6">
      <c r="A133" t="str">
        <f>"T386-2"</f>
        <v>T386-2</v>
      </c>
      <c r="B133" t="str">
        <f>"LARGO ARCHIMEDE  2-"</f>
        <v>LARGO ARCHIMEDE  2-</v>
      </c>
      <c r="C133" t="str">
        <f t="shared" si="12"/>
        <v>1</v>
      </c>
      <c r="D133">
        <v>70</v>
      </c>
      <c r="E133" t="str">
        <f>"360"</f>
        <v>360</v>
      </c>
      <c r="F133" t="str">
        <f t="shared" si="11"/>
        <v>0000</v>
      </c>
    </row>
    <row r="134" spans="1:6">
      <c r="A134" t="str">
        <f>"T502-1"</f>
        <v>T502-1</v>
      </c>
      <c r="B134" t="str">
        <f>"VIALE FRANCESCO GAMBARO VICINO AL 50-"</f>
        <v>VIALE FRANCESCO GAMBARO VICINO AL 50-</v>
      </c>
      <c r="C134" t="str">
        <f t="shared" si="12"/>
        <v>1</v>
      </c>
      <c r="D134">
        <v>76</v>
      </c>
      <c r="E134" t="str">
        <f>"882"</f>
        <v>882</v>
      </c>
      <c r="F134" t="str">
        <f>"00"</f>
        <v>00</v>
      </c>
    </row>
    <row r="135" spans="1:6">
      <c r="A135" t="str">
        <f>"T502-3"</f>
        <v>T502-3</v>
      </c>
      <c r="B135" t="str">
        <f>"VIALE FRANCESCO GAMBARO VICINO AL 50-"</f>
        <v>VIALE FRANCESCO GAMBARO VICINO AL 50-</v>
      </c>
      <c r="C135" t="str">
        <f t="shared" si="12"/>
        <v>1</v>
      </c>
      <c r="D135">
        <v>76</v>
      </c>
      <c r="E135" t="str">
        <f>"879"</f>
        <v>879</v>
      </c>
      <c r="F135" t="str">
        <f t="shared" ref="F135:F173" si="13">"0000"</f>
        <v>0000</v>
      </c>
    </row>
    <row r="136" spans="1:6">
      <c r="A136" t="str">
        <f>"T502-4"</f>
        <v>T502-4</v>
      </c>
      <c r="B136" t="str">
        <f>"VIALE FRANCESCO GAMBARO VICINO AL 50-"</f>
        <v>VIALE FRANCESCO GAMBARO VICINO AL 50-</v>
      </c>
      <c r="C136" t="str">
        <f>"GEB"</f>
        <v>GEB</v>
      </c>
      <c r="D136">
        <v>61</v>
      </c>
      <c r="E136" t="str">
        <f>"881"</f>
        <v>881</v>
      </c>
      <c r="F136" t="str">
        <f t="shared" si="13"/>
        <v>0000</v>
      </c>
    </row>
    <row r="137" spans="1:6">
      <c r="A137" t="str">
        <f>"T503-1"</f>
        <v>T503-1</v>
      </c>
      <c r="B137" t="str">
        <f>"SALITA SUP DI SANTA TECLA VICINO AL 29F-"</f>
        <v>SALITA SUP DI SANTA TECLA VICINO AL 29F-</v>
      </c>
      <c r="C137" t="str">
        <f>"1"</f>
        <v>1</v>
      </c>
      <c r="D137">
        <v>41</v>
      </c>
      <c r="E137" t="str">
        <f>"124"</f>
        <v>124</v>
      </c>
      <c r="F137" t="str">
        <f t="shared" si="13"/>
        <v>0000</v>
      </c>
    </row>
    <row r="138" spans="1:6">
      <c r="A138" t="str">
        <f>"T503-2"</f>
        <v>T503-2</v>
      </c>
      <c r="B138" t="str">
        <f>"SALITA SUP DI SANTA TECLA VICINO AL 29F-"</f>
        <v>SALITA SUP DI SANTA TECLA VICINO AL 29F-</v>
      </c>
      <c r="C138" t="str">
        <f>"1"</f>
        <v>1</v>
      </c>
      <c r="D138">
        <v>41</v>
      </c>
      <c r="E138" t="str">
        <f>"125"</f>
        <v>125</v>
      </c>
      <c r="F138" t="str">
        <f t="shared" si="13"/>
        <v>0000</v>
      </c>
    </row>
    <row r="139" spans="1:6">
      <c r="A139" t="str">
        <f>"T505-1"</f>
        <v>T505-1</v>
      </c>
      <c r="B139" t="str">
        <f>"VIA BORGORATTI VICINO AL 80-"</f>
        <v>VIA BORGORATTI VICINO AL 80-</v>
      </c>
      <c r="C139" t="str">
        <f>"1"</f>
        <v>1</v>
      </c>
      <c r="D139">
        <v>57</v>
      </c>
      <c r="E139" t="str">
        <f>"99999"</f>
        <v>99999</v>
      </c>
      <c r="F139" t="str">
        <f t="shared" si="13"/>
        <v>0000</v>
      </c>
    </row>
    <row r="140" spans="1:6">
      <c r="A140" t="str">
        <f>"T696-1"</f>
        <v>T696-1</v>
      </c>
      <c r="B140" t="str">
        <f>"VIA CRIMEA VICINO AL 1R-"</f>
        <v>VIA CRIMEA VICINO AL 1R-</v>
      </c>
      <c r="C140" t="str">
        <f>"1"</f>
        <v>1</v>
      </c>
      <c r="D140">
        <v>71</v>
      </c>
      <c r="E140" t="str">
        <f>"99999"</f>
        <v>99999</v>
      </c>
      <c r="F140" t="str">
        <f t="shared" si="13"/>
        <v>0000</v>
      </c>
    </row>
    <row r="141" spans="1:6">
      <c r="A141" t="str">
        <f>"T1039-1"</f>
        <v>T1039-1</v>
      </c>
      <c r="B141" t="str">
        <f>"VIA LUIGI CADORNA VICINO AL 5-"</f>
        <v>VIA LUIGI CADORNA VICINO AL 5-</v>
      </c>
      <c r="C141" t="str">
        <f>"GEB"</f>
        <v>GEB</v>
      </c>
      <c r="D141">
        <v>57</v>
      </c>
      <c r="E141" t="str">
        <f>"74"</f>
        <v>74</v>
      </c>
      <c r="F141" t="str">
        <f t="shared" si="13"/>
        <v>0000</v>
      </c>
    </row>
    <row r="142" spans="1:6">
      <c r="A142" t="str">
        <f>"T1050-1"</f>
        <v>T1050-1</v>
      </c>
      <c r="B142" t="str">
        <f>"VIA CARLO D MINORETTI VICINO AL 34-"</f>
        <v>VIA CARLO D MINORETTI VICINO AL 34-</v>
      </c>
      <c r="C142" t="str">
        <f t="shared" ref="C142:C173" si="14">"1"</f>
        <v>1</v>
      </c>
      <c r="D142">
        <v>56</v>
      </c>
      <c r="E142" t="str">
        <f>"1054"</f>
        <v>1054</v>
      </c>
      <c r="F142" t="str">
        <f t="shared" si="13"/>
        <v>0000</v>
      </c>
    </row>
    <row r="143" spans="1:6">
      <c r="A143" t="str">
        <f>"T1050-2"</f>
        <v>T1050-2</v>
      </c>
      <c r="B143" t="str">
        <f>"VIA CARLO D MINORETTI VICINO AL 34-"</f>
        <v>VIA CARLO D MINORETTI VICINO AL 34-</v>
      </c>
      <c r="C143" t="str">
        <f t="shared" si="14"/>
        <v>1</v>
      </c>
      <c r="D143">
        <v>56</v>
      </c>
      <c r="E143" t="str">
        <f>"968"</f>
        <v>968</v>
      </c>
      <c r="F143" t="str">
        <f t="shared" si="13"/>
        <v>0000</v>
      </c>
    </row>
    <row r="144" spans="1:6">
      <c r="A144" t="str">
        <f>"T1052-1"</f>
        <v>T1052-1</v>
      </c>
      <c r="B144" t="str">
        <f t="shared" ref="B144:B165" si="15">"VIALE BERNABO BREA  1-"</f>
        <v>VIALE BERNABO BREA  1-</v>
      </c>
      <c r="C144" t="str">
        <f t="shared" si="14"/>
        <v>1</v>
      </c>
      <c r="D144">
        <v>78</v>
      </c>
      <c r="E144" t="str">
        <f>"429"</f>
        <v>429</v>
      </c>
      <c r="F144" t="str">
        <f t="shared" si="13"/>
        <v>0000</v>
      </c>
    </row>
    <row r="145" spans="1:6">
      <c r="A145" t="str">
        <f>"T1052-2"</f>
        <v>T1052-2</v>
      </c>
      <c r="B145" t="str">
        <f t="shared" si="15"/>
        <v>VIALE BERNABO BREA  1-</v>
      </c>
      <c r="C145" t="str">
        <f t="shared" si="14"/>
        <v>1</v>
      </c>
      <c r="D145">
        <v>78</v>
      </c>
      <c r="E145" t="str">
        <f>"862"</f>
        <v>862</v>
      </c>
      <c r="F145" t="str">
        <f t="shared" si="13"/>
        <v>0000</v>
      </c>
    </row>
    <row r="146" spans="1:6">
      <c r="A146" t="str">
        <f>"T1052-3"</f>
        <v>T1052-3</v>
      </c>
      <c r="B146" t="str">
        <f t="shared" si="15"/>
        <v>VIALE BERNABO BREA  1-</v>
      </c>
      <c r="C146" t="str">
        <f t="shared" si="14"/>
        <v>1</v>
      </c>
      <c r="D146">
        <v>78</v>
      </c>
      <c r="E146" t="str">
        <f>"866"</f>
        <v>866</v>
      </c>
      <c r="F146" t="str">
        <f t="shared" si="13"/>
        <v>0000</v>
      </c>
    </row>
    <row r="147" spans="1:6">
      <c r="A147" t="str">
        <f>"T1052-4"</f>
        <v>T1052-4</v>
      </c>
      <c r="B147" t="str">
        <f t="shared" si="15"/>
        <v>VIALE BERNABO BREA  1-</v>
      </c>
      <c r="C147" t="str">
        <f t="shared" si="14"/>
        <v>1</v>
      </c>
      <c r="D147">
        <v>78</v>
      </c>
      <c r="E147" t="str">
        <f>"867"</f>
        <v>867</v>
      </c>
      <c r="F147" t="str">
        <f t="shared" si="13"/>
        <v>0000</v>
      </c>
    </row>
    <row r="148" spans="1:6">
      <c r="A148" t="str">
        <f>"T1052-5"</f>
        <v>T1052-5</v>
      </c>
      <c r="B148" t="str">
        <f t="shared" si="15"/>
        <v>VIALE BERNABO BREA  1-</v>
      </c>
      <c r="C148" t="str">
        <f t="shared" si="14"/>
        <v>1</v>
      </c>
      <c r="D148">
        <v>78</v>
      </c>
      <c r="E148" t="str">
        <f>"868"</f>
        <v>868</v>
      </c>
      <c r="F148" t="str">
        <f t="shared" si="13"/>
        <v>0000</v>
      </c>
    </row>
    <row r="149" spans="1:6">
      <c r="A149" t="str">
        <f>"T1052-6"</f>
        <v>T1052-6</v>
      </c>
      <c r="B149" t="str">
        <f t="shared" si="15"/>
        <v>VIALE BERNABO BREA  1-</v>
      </c>
      <c r="C149" t="str">
        <f t="shared" si="14"/>
        <v>1</v>
      </c>
      <c r="D149">
        <v>78</v>
      </c>
      <c r="E149" t="str">
        <f>"869"</f>
        <v>869</v>
      </c>
      <c r="F149" t="str">
        <f t="shared" si="13"/>
        <v>0000</v>
      </c>
    </row>
    <row r="150" spans="1:6">
      <c r="A150" t="str">
        <f>"T1052-7"</f>
        <v>T1052-7</v>
      </c>
      <c r="B150" t="str">
        <f t="shared" si="15"/>
        <v>VIALE BERNABO BREA  1-</v>
      </c>
      <c r="C150" t="str">
        <f t="shared" si="14"/>
        <v>1</v>
      </c>
      <c r="D150">
        <v>78</v>
      </c>
      <c r="E150" t="str">
        <f>"870"</f>
        <v>870</v>
      </c>
      <c r="F150" t="str">
        <f t="shared" si="13"/>
        <v>0000</v>
      </c>
    </row>
    <row r="151" spans="1:6">
      <c r="A151" t="str">
        <f>"T1052-8"</f>
        <v>T1052-8</v>
      </c>
      <c r="B151" t="str">
        <f t="shared" si="15"/>
        <v>VIALE BERNABO BREA  1-</v>
      </c>
      <c r="C151" t="str">
        <f t="shared" si="14"/>
        <v>1</v>
      </c>
      <c r="D151">
        <v>78</v>
      </c>
      <c r="E151" t="str">
        <f>"872"</f>
        <v>872</v>
      </c>
      <c r="F151" t="str">
        <f t="shared" si="13"/>
        <v>0000</v>
      </c>
    </row>
    <row r="152" spans="1:6">
      <c r="A152" t="str">
        <f>"T1052-9"</f>
        <v>T1052-9</v>
      </c>
      <c r="B152" t="str">
        <f t="shared" si="15"/>
        <v>VIALE BERNABO BREA  1-</v>
      </c>
      <c r="C152" t="str">
        <f t="shared" si="14"/>
        <v>1</v>
      </c>
      <c r="D152">
        <v>78</v>
      </c>
      <c r="E152" t="str">
        <f>"873"</f>
        <v>873</v>
      </c>
      <c r="F152" t="str">
        <f t="shared" si="13"/>
        <v>0000</v>
      </c>
    </row>
    <row r="153" spans="1:6">
      <c r="A153" t="str">
        <f>"T1052-10"</f>
        <v>T1052-10</v>
      </c>
      <c r="B153" t="str">
        <f t="shared" si="15"/>
        <v>VIALE BERNABO BREA  1-</v>
      </c>
      <c r="C153" t="str">
        <f t="shared" si="14"/>
        <v>1</v>
      </c>
      <c r="D153">
        <v>78</v>
      </c>
      <c r="E153" t="str">
        <f>"875"</f>
        <v>875</v>
      </c>
      <c r="F153" t="str">
        <f t="shared" si="13"/>
        <v>0000</v>
      </c>
    </row>
    <row r="154" spans="1:6">
      <c r="A154" t="str">
        <f>"T1052-11"</f>
        <v>T1052-11</v>
      </c>
      <c r="B154" t="str">
        <f t="shared" si="15"/>
        <v>VIALE BERNABO BREA  1-</v>
      </c>
      <c r="C154" t="str">
        <f t="shared" si="14"/>
        <v>1</v>
      </c>
      <c r="D154">
        <v>78</v>
      </c>
      <c r="E154" t="str">
        <f>"876"</f>
        <v>876</v>
      </c>
      <c r="F154" t="str">
        <f t="shared" si="13"/>
        <v>0000</v>
      </c>
    </row>
    <row r="155" spans="1:6">
      <c r="A155" t="str">
        <f>"T1052-12"</f>
        <v>T1052-12</v>
      </c>
      <c r="B155" t="str">
        <f t="shared" si="15"/>
        <v>VIALE BERNABO BREA  1-</v>
      </c>
      <c r="C155" t="str">
        <f t="shared" si="14"/>
        <v>1</v>
      </c>
      <c r="D155">
        <v>78</v>
      </c>
      <c r="E155" t="str">
        <f>"877"</f>
        <v>877</v>
      </c>
      <c r="F155" t="str">
        <f t="shared" si="13"/>
        <v>0000</v>
      </c>
    </row>
    <row r="156" spans="1:6">
      <c r="A156" t="str">
        <f>"T1052-13"</f>
        <v>T1052-13</v>
      </c>
      <c r="B156" t="str">
        <f t="shared" si="15"/>
        <v>VIALE BERNABO BREA  1-</v>
      </c>
      <c r="C156" t="str">
        <f t="shared" si="14"/>
        <v>1</v>
      </c>
      <c r="D156">
        <v>78</v>
      </c>
      <c r="E156" t="str">
        <f>"878"</f>
        <v>878</v>
      </c>
      <c r="F156" t="str">
        <f t="shared" si="13"/>
        <v>0000</v>
      </c>
    </row>
    <row r="157" spans="1:6">
      <c r="A157" t="str">
        <f>"T1052-14"</f>
        <v>T1052-14</v>
      </c>
      <c r="B157" t="str">
        <f t="shared" si="15"/>
        <v>VIALE BERNABO BREA  1-</v>
      </c>
      <c r="C157" t="str">
        <f t="shared" si="14"/>
        <v>1</v>
      </c>
      <c r="D157">
        <v>78</v>
      </c>
      <c r="E157" t="str">
        <f>"879"</f>
        <v>879</v>
      </c>
      <c r="F157" t="str">
        <f t="shared" si="13"/>
        <v>0000</v>
      </c>
    </row>
    <row r="158" spans="1:6">
      <c r="A158" t="str">
        <f>"T1052-15"</f>
        <v>T1052-15</v>
      </c>
      <c r="B158" t="str">
        <f t="shared" si="15"/>
        <v>VIALE BERNABO BREA  1-</v>
      </c>
      <c r="C158" t="str">
        <f t="shared" si="14"/>
        <v>1</v>
      </c>
      <c r="D158">
        <v>78</v>
      </c>
      <c r="E158" t="str">
        <f>"880"</f>
        <v>880</v>
      </c>
      <c r="F158" t="str">
        <f t="shared" si="13"/>
        <v>0000</v>
      </c>
    </row>
    <row r="159" spans="1:6">
      <c r="A159" t="str">
        <f>"T1052-16"</f>
        <v>T1052-16</v>
      </c>
      <c r="B159" t="str">
        <f t="shared" si="15"/>
        <v>VIALE BERNABO BREA  1-</v>
      </c>
      <c r="C159" t="str">
        <f t="shared" si="14"/>
        <v>1</v>
      </c>
      <c r="D159">
        <v>78</v>
      </c>
      <c r="E159" t="str">
        <f>"882"</f>
        <v>882</v>
      </c>
      <c r="F159" t="str">
        <f t="shared" si="13"/>
        <v>0000</v>
      </c>
    </row>
    <row r="160" spans="1:6">
      <c r="A160" t="str">
        <f>"T1052-17"</f>
        <v>T1052-17</v>
      </c>
      <c r="B160" t="str">
        <f t="shared" si="15"/>
        <v>VIALE BERNABO BREA  1-</v>
      </c>
      <c r="C160" t="str">
        <f t="shared" si="14"/>
        <v>1</v>
      </c>
      <c r="D160">
        <v>78</v>
      </c>
      <c r="E160" t="str">
        <f>"883"</f>
        <v>883</v>
      </c>
      <c r="F160" t="str">
        <f t="shared" si="13"/>
        <v>0000</v>
      </c>
    </row>
    <row r="161" spans="1:6">
      <c r="A161" t="str">
        <f>"T1052-18"</f>
        <v>T1052-18</v>
      </c>
      <c r="B161" t="str">
        <f t="shared" si="15"/>
        <v>VIALE BERNABO BREA  1-</v>
      </c>
      <c r="C161" t="str">
        <f t="shared" si="14"/>
        <v>1</v>
      </c>
      <c r="D161">
        <v>78</v>
      </c>
      <c r="E161" t="str">
        <f>"884"</f>
        <v>884</v>
      </c>
      <c r="F161" t="str">
        <f t="shared" si="13"/>
        <v>0000</v>
      </c>
    </row>
    <row r="162" spans="1:6">
      <c r="A162" t="str">
        <f>"T1052-19"</f>
        <v>T1052-19</v>
      </c>
      <c r="B162" t="str">
        <f t="shared" si="15"/>
        <v>VIALE BERNABO BREA  1-</v>
      </c>
      <c r="C162" t="str">
        <f t="shared" si="14"/>
        <v>1</v>
      </c>
      <c r="D162">
        <v>78</v>
      </c>
      <c r="E162" t="str">
        <f>"885"</f>
        <v>885</v>
      </c>
      <c r="F162" t="str">
        <f t="shared" si="13"/>
        <v>0000</v>
      </c>
    </row>
    <row r="163" spans="1:6">
      <c r="A163" t="str">
        <f>"T1052-20"</f>
        <v>T1052-20</v>
      </c>
      <c r="B163" t="str">
        <f t="shared" si="15"/>
        <v>VIALE BERNABO BREA  1-</v>
      </c>
      <c r="C163" t="str">
        <f t="shared" si="14"/>
        <v>1</v>
      </c>
      <c r="D163">
        <v>78</v>
      </c>
      <c r="E163" t="str">
        <f>"886"</f>
        <v>886</v>
      </c>
      <c r="F163" t="str">
        <f t="shared" si="13"/>
        <v>0000</v>
      </c>
    </row>
    <row r="164" spans="1:6">
      <c r="A164" t="str">
        <f>"T1052-21"</f>
        <v>T1052-21</v>
      </c>
      <c r="B164" t="str">
        <f t="shared" si="15"/>
        <v>VIALE BERNABO BREA  1-</v>
      </c>
      <c r="C164" t="str">
        <f t="shared" si="14"/>
        <v>1</v>
      </c>
      <c r="D164">
        <v>78</v>
      </c>
      <c r="E164" t="str">
        <f>"887"</f>
        <v>887</v>
      </c>
      <c r="F164" t="str">
        <f t="shared" si="13"/>
        <v>0000</v>
      </c>
    </row>
    <row r="165" spans="1:6">
      <c r="A165" t="str">
        <f>"T1052-22"</f>
        <v>T1052-22</v>
      </c>
      <c r="B165" t="str">
        <f t="shared" si="15"/>
        <v>VIALE BERNABO BREA  1-</v>
      </c>
      <c r="C165" t="str">
        <f t="shared" si="14"/>
        <v>1</v>
      </c>
      <c r="D165">
        <v>78</v>
      </c>
      <c r="E165" t="str">
        <f>"889"</f>
        <v>889</v>
      </c>
      <c r="F165" t="str">
        <f t="shared" si="13"/>
        <v>0000</v>
      </c>
    </row>
    <row r="166" spans="1:6">
      <c r="A166" t="str">
        <f>"T1064-1"</f>
        <v>T1064-1</v>
      </c>
      <c r="B166" t="str">
        <f>"LARGO ARTURO TOSCANINI VICINO AL 2-"</f>
        <v>LARGO ARTURO TOSCANINI VICINO AL 2-</v>
      </c>
      <c r="C166" t="str">
        <f t="shared" si="14"/>
        <v>1</v>
      </c>
      <c r="D166">
        <v>91</v>
      </c>
      <c r="E166" t="str">
        <f>"573"</f>
        <v>573</v>
      </c>
      <c r="F166" t="str">
        <f t="shared" si="13"/>
        <v>0000</v>
      </c>
    </row>
    <row r="167" spans="1:6">
      <c r="A167" t="str">
        <f>"T1068-1"</f>
        <v>T1068-1</v>
      </c>
      <c r="B167" t="str">
        <f>"VIA TAGLIAMENTO VICINO AL 6-"</f>
        <v>VIA TAGLIAMENTO VICINO AL 6-</v>
      </c>
      <c r="C167" t="str">
        <f t="shared" si="14"/>
        <v>1</v>
      </c>
      <c r="D167">
        <v>57</v>
      </c>
      <c r="E167" t="str">
        <f>"1223"</f>
        <v>1223</v>
      </c>
      <c r="F167" t="str">
        <f t="shared" si="13"/>
        <v>0000</v>
      </c>
    </row>
    <row r="168" spans="1:6">
      <c r="A168" t="str">
        <f>"T1068-2"</f>
        <v>T1068-2</v>
      </c>
      <c r="B168" t="str">
        <f>"VIA TAGLIAMENTO VICINO AL 6-"</f>
        <v>VIA TAGLIAMENTO VICINO AL 6-</v>
      </c>
      <c r="C168" t="str">
        <f t="shared" si="14"/>
        <v>1</v>
      </c>
      <c r="D168">
        <v>57</v>
      </c>
      <c r="E168" t="str">
        <f>"1221"</f>
        <v>1221</v>
      </c>
      <c r="F168" t="str">
        <f t="shared" si="13"/>
        <v>0000</v>
      </c>
    </row>
    <row r="169" spans="1:6">
      <c r="A169" t="str">
        <f>"T1085-1"</f>
        <v>T1085-1</v>
      </c>
      <c r="B169" t="str">
        <f>"PIAZZALE JOHN F KENNEDY  1-"</f>
        <v>PIAZZALE JOHN F KENNEDY  1-</v>
      </c>
      <c r="C169" t="str">
        <f t="shared" si="14"/>
        <v>1</v>
      </c>
      <c r="D169">
        <v>85</v>
      </c>
      <c r="E169" t="str">
        <f>"592"</f>
        <v>592</v>
      </c>
      <c r="F169" t="str">
        <f t="shared" si="13"/>
        <v>0000</v>
      </c>
    </row>
    <row r="170" spans="1:6">
      <c r="A170" t="str">
        <f>"T1085-1"</f>
        <v>T1085-1</v>
      </c>
      <c r="B170" t="str">
        <f>"PIAZZALE JOHN F KENNEDY  1-"</f>
        <v>PIAZZALE JOHN F KENNEDY  1-</v>
      </c>
      <c r="C170" t="str">
        <f t="shared" si="14"/>
        <v>1</v>
      </c>
      <c r="D170">
        <v>85</v>
      </c>
      <c r="E170" t="str">
        <f>"250"</f>
        <v>250</v>
      </c>
      <c r="F170" t="str">
        <f t="shared" si="13"/>
        <v>0000</v>
      </c>
    </row>
    <row r="171" spans="1:6">
      <c r="A171" t="str">
        <f>"T1085-1"</f>
        <v>T1085-1</v>
      </c>
      <c r="B171" t="str">
        <f>"PIAZZALE JOHN F KENNEDY  1-"</f>
        <v>PIAZZALE JOHN F KENNEDY  1-</v>
      </c>
      <c r="C171" t="str">
        <f t="shared" si="14"/>
        <v>1</v>
      </c>
      <c r="D171">
        <v>85</v>
      </c>
      <c r="E171" t="str">
        <f>"248"</f>
        <v>248</v>
      </c>
      <c r="F171" t="str">
        <f t="shared" si="13"/>
        <v>0000</v>
      </c>
    </row>
    <row r="172" spans="1:6">
      <c r="A172" t="str">
        <f>"T1094-1"</f>
        <v>T1094-1</v>
      </c>
      <c r="B172" t="str">
        <f>"VIA SAN MARTINO VICINO AL 6A-"</f>
        <v>VIA SAN MARTINO VICINO AL 6A-</v>
      </c>
      <c r="C172" t="str">
        <f t="shared" si="14"/>
        <v>1</v>
      </c>
      <c r="D172">
        <v>72</v>
      </c>
      <c r="E172" t="str">
        <f>"232"</f>
        <v>232</v>
      </c>
      <c r="F172" t="str">
        <f t="shared" si="13"/>
        <v>0000</v>
      </c>
    </row>
    <row r="173" spans="1:6">
      <c r="A173" t="str">
        <f>"T1095-1"</f>
        <v>T1095-1</v>
      </c>
      <c r="B173" t="str">
        <f>"VIA MERANI VICINO AL 2-"</f>
        <v>VIA MERANI VICINO AL 2-</v>
      </c>
      <c r="C173" t="str">
        <f t="shared" si="14"/>
        <v>1</v>
      </c>
      <c r="D173">
        <v>86</v>
      </c>
      <c r="E173" t="str">
        <f>"960"</f>
        <v>960</v>
      </c>
      <c r="F173" t="str">
        <f t="shared" si="13"/>
        <v>0000</v>
      </c>
    </row>
    <row r="174" spans="1:6">
      <c r="A174" t="str">
        <f>"T1098-1"</f>
        <v>T1098-1</v>
      </c>
      <c r="B174" t="str">
        <f>"VIA GIUSEPPE SAPETO VICINO AL 32A-"</f>
        <v>VIA GIUSEPPE SAPETO VICINO AL 32A-</v>
      </c>
      <c r="C174" t="str">
        <f>"GED"</f>
        <v>GED</v>
      </c>
      <c r="D174">
        <v>46</v>
      </c>
      <c r="E174" t="str">
        <f>"1075"</f>
        <v>1075</v>
      </c>
      <c r="F174" t="str">
        <f>"117"</f>
        <v>117</v>
      </c>
    </row>
    <row r="175" spans="1:6">
      <c r="A175" t="str">
        <f>"T1104-1"</f>
        <v>T1104-1</v>
      </c>
      <c r="B175" t="str">
        <f>"VIA SAN MARTINO VICINO AL 65-"</f>
        <v>VIA SAN MARTINO VICINO AL 65-</v>
      </c>
      <c r="C175" t="str">
        <f>"1"</f>
        <v>1</v>
      </c>
      <c r="D175">
        <v>75</v>
      </c>
      <c r="E175" t="str">
        <f>"160"</f>
        <v>160</v>
      </c>
      <c r="F175" t="str">
        <f>"0000"</f>
        <v>0000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61"/>
  <sheetViews>
    <sheetView workbookViewId="0">
      <selection sqref="A1:F1"/>
    </sheetView>
  </sheetViews>
  <sheetFormatPr defaultRowHeight="12.75"/>
  <cols>
    <col min="1" max="1" width="19.5703125" bestFit="1" customWidth="1"/>
    <col min="2" max="2" width="44.5703125" bestFit="1" customWidth="1"/>
    <col min="5" max="5" width="10" bestFit="1" customWidth="1"/>
  </cols>
  <sheetData>
    <row r="1" spans="1:6">
      <c r="A1" s="1" t="str">
        <f>"codice identificativo"</f>
        <v>codice identificativo</v>
      </c>
      <c r="B1" s="1" t="str">
        <f>"Indirizzo/Località"</f>
        <v>Indirizzo/Località</v>
      </c>
      <c r="C1" s="1" t="str">
        <f>"SEZIONE"</f>
        <v>SEZIONE</v>
      </c>
      <c r="D1" s="1" t="str">
        <f>"FOGLIO"</f>
        <v>FOGLIO</v>
      </c>
      <c r="E1" s="1" t="str">
        <f>"MAPPALE"</f>
        <v>MAPPALE</v>
      </c>
      <c r="F1" s="1" t="str">
        <f>"SUB"</f>
        <v>SUB</v>
      </c>
    </row>
    <row r="2" spans="1:6">
      <c r="A2" t="str">
        <f>"T2-1"</f>
        <v>T2-1</v>
      </c>
      <c r="B2" t="str">
        <f>"VIA LUIGI BIASIOLI VICINO AL 324-"</f>
        <v>VIA LUIGI BIASIOLI VICINO AL 324-</v>
      </c>
      <c r="C2" t="str">
        <f t="shared" ref="C2:C16" si="0">"9"</f>
        <v>9</v>
      </c>
      <c r="D2">
        <v>5</v>
      </c>
      <c r="E2" t="str">
        <f>"142"</f>
        <v>142</v>
      </c>
      <c r="F2" t="str">
        <f t="shared" ref="F2:F65" si="1">"0000"</f>
        <v>0000</v>
      </c>
    </row>
    <row r="3" spans="1:6">
      <c r="A3" t="str">
        <f>"T3-1"</f>
        <v>T3-1</v>
      </c>
      <c r="B3" t="str">
        <f>"VIA DONATO SOMMA VICINO AL 18-"</f>
        <v>VIA DONATO SOMMA VICINO AL 18-</v>
      </c>
      <c r="C3" t="str">
        <f t="shared" si="0"/>
        <v>9</v>
      </c>
      <c r="D3">
        <v>9</v>
      </c>
      <c r="E3" t="str">
        <f>"654"</f>
        <v>654</v>
      </c>
      <c r="F3" t="str">
        <f t="shared" si="1"/>
        <v>0000</v>
      </c>
    </row>
    <row r="4" spans="1:6">
      <c r="A4" t="str">
        <f>"T5-1"</f>
        <v>T5-1</v>
      </c>
      <c r="B4" t="str">
        <f t="shared" ref="B4:B10" si="2">"VIA ALBERICO LANFRANCO VICINO AL 112-"</f>
        <v>VIA ALBERICO LANFRANCO VICINO AL 112-</v>
      </c>
      <c r="C4" t="str">
        <f t="shared" si="0"/>
        <v>9</v>
      </c>
      <c r="D4">
        <v>5</v>
      </c>
      <c r="E4" t="str">
        <f>"44"</f>
        <v>44</v>
      </c>
      <c r="F4" t="str">
        <f t="shared" si="1"/>
        <v>0000</v>
      </c>
    </row>
    <row r="5" spans="1:6">
      <c r="A5" t="str">
        <f>"T5-2"</f>
        <v>T5-2</v>
      </c>
      <c r="B5" t="str">
        <f t="shared" si="2"/>
        <v>VIA ALBERICO LANFRANCO VICINO AL 112-</v>
      </c>
      <c r="C5" t="str">
        <f t="shared" si="0"/>
        <v>9</v>
      </c>
      <c r="D5">
        <v>5</v>
      </c>
      <c r="E5" t="str">
        <f>"90"</f>
        <v>90</v>
      </c>
      <c r="F5" t="str">
        <f t="shared" si="1"/>
        <v>0000</v>
      </c>
    </row>
    <row r="6" spans="1:6">
      <c r="A6" t="str">
        <f>"T5-3"</f>
        <v>T5-3</v>
      </c>
      <c r="B6" t="str">
        <f t="shared" si="2"/>
        <v>VIA ALBERICO LANFRANCO VICINO AL 112-</v>
      </c>
      <c r="C6" t="str">
        <f t="shared" si="0"/>
        <v>9</v>
      </c>
      <c r="D6">
        <v>5</v>
      </c>
      <c r="E6" t="str">
        <f>"91"</f>
        <v>91</v>
      </c>
      <c r="F6" t="str">
        <f t="shared" si="1"/>
        <v>0000</v>
      </c>
    </row>
    <row r="7" spans="1:6">
      <c r="A7" t="str">
        <f>"T6-1"</f>
        <v>T6-1</v>
      </c>
      <c r="B7" t="str">
        <f t="shared" si="2"/>
        <v>VIA ALBERICO LANFRANCO VICINO AL 112-</v>
      </c>
      <c r="C7" t="str">
        <f t="shared" si="0"/>
        <v>9</v>
      </c>
      <c r="D7">
        <v>5</v>
      </c>
      <c r="E7" t="str">
        <f>"4"</f>
        <v>4</v>
      </c>
      <c r="F7" t="str">
        <f t="shared" si="1"/>
        <v>0000</v>
      </c>
    </row>
    <row r="8" spans="1:6">
      <c r="A8" t="str">
        <f>"T6-2"</f>
        <v>T6-2</v>
      </c>
      <c r="B8" t="str">
        <f t="shared" si="2"/>
        <v>VIA ALBERICO LANFRANCO VICINO AL 112-</v>
      </c>
      <c r="C8" t="str">
        <f t="shared" si="0"/>
        <v>9</v>
      </c>
      <c r="D8">
        <v>5</v>
      </c>
      <c r="E8" t="str">
        <f>"165"</f>
        <v>165</v>
      </c>
      <c r="F8" t="str">
        <f t="shared" si="1"/>
        <v>0000</v>
      </c>
    </row>
    <row r="9" spans="1:6">
      <c r="A9" t="str">
        <f>"T6-3"</f>
        <v>T6-3</v>
      </c>
      <c r="B9" t="str">
        <f t="shared" si="2"/>
        <v>VIA ALBERICO LANFRANCO VICINO AL 112-</v>
      </c>
      <c r="C9" t="str">
        <f t="shared" si="0"/>
        <v>9</v>
      </c>
      <c r="D9">
        <v>5</v>
      </c>
      <c r="E9" t="str">
        <f>"43"</f>
        <v>43</v>
      </c>
      <c r="F9" t="str">
        <f t="shared" si="1"/>
        <v>0000</v>
      </c>
    </row>
    <row r="10" spans="1:6">
      <c r="A10" t="str">
        <f>"T6-4"</f>
        <v>T6-4</v>
      </c>
      <c r="B10" t="str">
        <f t="shared" si="2"/>
        <v>VIA ALBERICO LANFRANCO VICINO AL 112-</v>
      </c>
      <c r="C10" t="str">
        <f t="shared" si="0"/>
        <v>9</v>
      </c>
      <c r="D10">
        <v>5</v>
      </c>
      <c r="E10" t="str">
        <f>"166"</f>
        <v>166</v>
      </c>
      <c r="F10" t="str">
        <f t="shared" si="1"/>
        <v>0000</v>
      </c>
    </row>
    <row r="11" spans="1:6">
      <c r="A11" t="str">
        <f>"T7-1"</f>
        <v>T7-1</v>
      </c>
      <c r="B11" t="str">
        <f>"VIA ALDO CASOTTI VICINO AL 12DR-"</f>
        <v>VIA ALDO CASOTTI VICINO AL 12DR-</v>
      </c>
      <c r="C11" t="str">
        <f t="shared" si="0"/>
        <v>9</v>
      </c>
      <c r="D11">
        <v>9</v>
      </c>
      <c r="E11" t="str">
        <f>"436"</f>
        <v>436</v>
      </c>
      <c r="F11" t="str">
        <f t="shared" si="1"/>
        <v>0000</v>
      </c>
    </row>
    <row r="12" spans="1:6">
      <c r="A12" t="str">
        <f>"T8-1"</f>
        <v>T8-1</v>
      </c>
      <c r="B12" t="str">
        <f t="shared" ref="B12:B18" si="3">"VIA CAPOLUNGO VICINO AL 3-"</f>
        <v>VIA CAPOLUNGO VICINO AL 3-</v>
      </c>
      <c r="C12" t="str">
        <f t="shared" si="0"/>
        <v>9</v>
      </c>
      <c r="D12">
        <v>11</v>
      </c>
      <c r="E12" t="str">
        <f>"169"</f>
        <v>169</v>
      </c>
      <c r="F12" t="str">
        <f t="shared" si="1"/>
        <v>0000</v>
      </c>
    </row>
    <row r="13" spans="1:6">
      <c r="A13" t="str">
        <f>"T8-2"</f>
        <v>T8-2</v>
      </c>
      <c r="B13" t="str">
        <f t="shared" si="3"/>
        <v>VIA CAPOLUNGO VICINO AL 3-</v>
      </c>
      <c r="C13" t="str">
        <f t="shared" si="0"/>
        <v>9</v>
      </c>
      <c r="D13">
        <v>11</v>
      </c>
      <c r="E13" t="str">
        <f>"130"</f>
        <v>130</v>
      </c>
      <c r="F13" t="str">
        <f t="shared" si="1"/>
        <v>0000</v>
      </c>
    </row>
    <row r="14" spans="1:6">
      <c r="A14" t="str">
        <f>"T8-3"</f>
        <v>T8-3</v>
      </c>
      <c r="B14" t="str">
        <f t="shared" si="3"/>
        <v>VIA CAPOLUNGO VICINO AL 3-</v>
      </c>
      <c r="C14" t="str">
        <f t="shared" si="0"/>
        <v>9</v>
      </c>
      <c r="D14">
        <v>11</v>
      </c>
      <c r="E14" t="str">
        <f>"132"</f>
        <v>132</v>
      </c>
      <c r="F14" t="str">
        <f t="shared" si="1"/>
        <v>0000</v>
      </c>
    </row>
    <row r="15" spans="1:6">
      <c r="A15" t="str">
        <f>"T8-4"</f>
        <v>T8-4</v>
      </c>
      <c r="B15" t="str">
        <f t="shared" si="3"/>
        <v>VIA CAPOLUNGO VICINO AL 3-</v>
      </c>
      <c r="C15" t="str">
        <f t="shared" si="0"/>
        <v>9</v>
      </c>
      <c r="D15">
        <v>11</v>
      </c>
      <c r="E15" t="str">
        <f>"218"</f>
        <v>218</v>
      </c>
      <c r="F15" t="str">
        <f t="shared" si="1"/>
        <v>0000</v>
      </c>
    </row>
    <row r="16" spans="1:6">
      <c r="A16" t="str">
        <f>"T8-5"</f>
        <v>T8-5</v>
      </c>
      <c r="B16" t="str">
        <f t="shared" si="3"/>
        <v>VIA CAPOLUNGO VICINO AL 3-</v>
      </c>
      <c r="C16" t="str">
        <f t="shared" si="0"/>
        <v>9</v>
      </c>
      <c r="D16">
        <v>11</v>
      </c>
      <c r="E16" t="str">
        <f>"318"</f>
        <v>318</v>
      </c>
      <c r="F16" t="str">
        <f t="shared" si="1"/>
        <v>0000</v>
      </c>
    </row>
    <row r="17" spans="1:6">
      <c r="A17" t="str">
        <f>"T8-6"</f>
        <v>T8-6</v>
      </c>
      <c r="B17" t="str">
        <f t="shared" si="3"/>
        <v>VIA CAPOLUNGO VICINO AL 3-</v>
      </c>
      <c r="C17" t="str">
        <f>"NER"</f>
        <v>NER</v>
      </c>
      <c r="D17">
        <v>11</v>
      </c>
      <c r="E17" t="str">
        <f>"806"</f>
        <v>806</v>
      </c>
      <c r="F17" t="str">
        <f t="shared" si="1"/>
        <v>0000</v>
      </c>
    </row>
    <row r="18" spans="1:6">
      <c r="A18" t="str">
        <f>"T8-6"</f>
        <v>T8-6</v>
      </c>
      <c r="B18" t="str">
        <f t="shared" si="3"/>
        <v>VIA CAPOLUNGO VICINO AL 3-</v>
      </c>
      <c r="C18" t="str">
        <f>"9"</f>
        <v>9</v>
      </c>
      <c r="D18">
        <v>11</v>
      </c>
      <c r="E18" t="str">
        <f>"806"</f>
        <v>806</v>
      </c>
      <c r="F18" t="str">
        <f t="shared" si="1"/>
        <v>0000</v>
      </c>
    </row>
    <row r="19" spans="1:6">
      <c r="A19" t="str">
        <f>"T9-1"</f>
        <v>T9-1</v>
      </c>
      <c r="B19" t="str">
        <f>"VIA ALDO CASOTTI VICINO AL 1-"</f>
        <v>VIA ALDO CASOTTI VICINO AL 1-</v>
      </c>
      <c r="C19" t="str">
        <f>"9"</f>
        <v>9</v>
      </c>
      <c r="D19">
        <v>11</v>
      </c>
      <c r="E19" t="str">
        <f>"114"</f>
        <v>114</v>
      </c>
      <c r="F19" t="str">
        <f t="shared" si="1"/>
        <v>0000</v>
      </c>
    </row>
    <row r="20" spans="1:6">
      <c r="A20" t="str">
        <f>"T9-2"</f>
        <v>T9-2</v>
      </c>
      <c r="B20" t="str">
        <f>"VIA ALDO CASOTTI VICINO AL 1-"</f>
        <v>VIA ALDO CASOTTI VICINO AL 1-</v>
      </c>
      <c r="C20" t="str">
        <f>"9"</f>
        <v>9</v>
      </c>
      <c r="D20">
        <v>11</v>
      </c>
      <c r="E20" t="str">
        <f>"118"</f>
        <v>118</v>
      </c>
      <c r="F20" t="str">
        <f t="shared" si="1"/>
        <v>0000</v>
      </c>
    </row>
    <row r="21" spans="1:6">
      <c r="A21" t="str">
        <f>"T9-3"</f>
        <v>T9-3</v>
      </c>
      <c r="B21" t="str">
        <f>"VIA ALDO CASOTTI VICINO AL 1-"</f>
        <v>VIA ALDO CASOTTI VICINO AL 1-</v>
      </c>
      <c r="C21" t="str">
        <f>"9"</f>
        <v>9</v>
      </c>
      <c r="D21">
        <v>11</v>
      </c>
      <c r="E21" t="str">
        <f>"119"</f>
        <v>119</v>
      </c>
      <c r="F21" t="str">
        <f t="shared" si="1"/>
        <v>0000</v>
      </c>
    </row>
    <row r="22" spans="1:6">
      <c r="A22" t="str">
        <f>"T10-1"</f>
        <v>T10-1</v>
      </c>
      <c r="B22" t="str">
        <f>"VIA MARASSO VICINO AL 4-"</f>
        <v>VIA MARASSO VICINO AL 4-</v>
      </c>
      <c r="C22" t="str">
        <f>"8"</f>
        <v>8</v>
      </c>
      <c r="D22">
        <v>5</v>
      </c>
      <c r="E22" t="str">
        <f>"52"</f>
        <v>52</v>
      </c>
      <c r="F22" t="str">
        <f t="shared" si="1"/>
        <v>0000</v>
      </c>
    </row>
    <row r="23" spans="1:6">
      <c r="A23" t="str">
        <f>"T10-2"</f>
        <v>T10-2</v>
      </c>
      <c r="B23" t="str">
        <f>"VIA MARASSO VICINO AL 4-"</f>
        <v>VIA MARASSO VICINO AL 4-</v>
      </c>
      <c r="C23" t="str">
        <f>"8"</f>
        <v>8</v>
      </c>
      <c r="D23">
        <v>5</v>
      </c>
      <c r="E23" t="str">
        <f>"51"</f>
        <v>51</v>
      </c>
      <c r="F23" t="str">
        <f t="shared" si="1"/>
        <v>0000</v>
      </c>
    </row>
    <row r="24" spans="1:6">
      <c r="A24" t="str">
        <f>"T11-1"</f>
        <v>T11-1</v>
      </c>
      <c r="B24" t="str">
        <f>"VIA DEL COMMERCIO VICINO AL 116-"</f>
        <v>VIA DEL COMMERCIO VICINO AL 116-</v>
      </c>
      <c r="C24" t="str">
        <f>"9"</f>
        <v>9</v>
      </c>
      <c r="D24">
        <v>5</v>
      </c>
      <c r="E24" t="str">
        <f>"431"</f>
        <v>431</v>
      </c>
      <c r="F24" t="str">
        <f t="shared" si="1"/>
        <v>0000</v>
      </c>
    </row>
    <row r="25" spans="1:6">
      <c r="A25" t="str">
        <f>"T11-2"</f>
        <v>T11-2</v>
      </c>
      <c r="B25" t="str">
        <f>"VIA DEL COMMERCIO VICINO AL 116-"</f>
        <v>VIA DEL COMMERCIO VICINO AL 116-</v>
      </c>
      <c r="C25" t="str">
        <f>"9"</f>
        <v>9</v>
      </c>
      <c r="D25">
        <v>5</v>
      </c>
      <c r="E25" t="str">
        <f>"111"</f>
        <v>111</v>
      </c>
      <c r="F25" t="str">
        <f t="shared" si="1"/>
        <v>0000</v>
      </c>
    </row>
    <row r="26" spans="1:6">
      <c r="A26" t="str">
        <f>"T11-3"</f>
        <v>T11-3</v>
      </c>
      <c r="B26" t="str">
        <f>"VIA DEL COMMERCIO VICINO AL 116-"</f>
        <v>VIA DEL COMMERCIO VICINO AL 116-</v>
      </c>
      <c r="C26" t="str">
        <f>"9"</f>
        <v>9</v>
      </c>
      <c r="D26">
        <v>5</v>
      </c>
      <c r="E26" t="str">
        <f>"432"</f>
        <v>432</v>
      </c>
      <c r="F26" t="str">
        <f t="shared" si="1"/>
        <v>0000</v>
      </c>
    </row>
    <row r="27" spans="1:6">
      <c r="A27" t="str">
        <f>"T14-1"</f>
        <v>T14-1</v>
      </c>
      <c r="B27" t="str">
        <f>"VIALE MAFALDA DI SAVOIA  3-"</f>
        <v>VIALE MAFALDA DI SAVOIA  3-</v>
      </c>
      <c r="C27" t="str">
        <f>"10"</f>
        <v>10</v>
      </c>
      <c r="D27">
        <v>8</v>
      </c>
      <c r="E27" t="str">
        <f>"176"</f>
        <v>176</v>
      </c>
      <c r="F27" t="str">
        <f t="shared" si="1"/>
        <v>0000</v>
      </c>
    </row>
    <row r="28" spans="1:6">
      <c r="A28" t="str">
        <f>"T40-1"</f>
        <v>T40-1</v>
      </c>
      <c r="B28" t="str">
        <f>"VIA STEFANO PRASCA VICINO AL 62-"</f>
        <v>VIA STEFANO PRASCA VICINO AL 62-</v>
      </c>
      <c r="C28" t="str">
        <f t="shared" ref="C28:C34" si="4">"7"</f>
        <v>7</v>
      </c>
      <c r="D28">
        <v>7</v>
      </c>
      <c r="E28" t="str">
        <f>"60"</f>
        <v>60</v>
      </c>
      <c r="F28" t="str">
        <f t="shared" si="1"/>
        <v>0000</v>
      </c>
    </row>
    <row r="29" spans="1:6">
      <c r="A29" t="str">
        <f>"T42-1"</f>
        <v>T42-1</v>
      </c>
      <c r="B29" t="str">
        <f>"VIA DELLA PALA VICINO AL 6-"</f>
        <v>VIA DELLA PALA VICINO AL 6-</v>
      </c>
      <c r="C29" t="str">
        <f t="shared" si="4"/>
        <v>7</v>
      </c>
      <c r="D29">
        <v>7</v>
      </c>
      <c r="E29" t="str">
        <f>"99999"</f>
        <v>99999</v>
      </c>
      <c r="F29" t="str">
        <f t="shared" si="1"/>
        <v>0000</v>
      </c>
    </row>
    <row r="30" spans="1:6">
      <c r="A30" t="str">
        <f>"T42-2"</f>
        <v>T42-2</v>
      </c>
      <c r="B30" t="str">
        <f>"VIA DELLA PALA VICINO AL 6-"</f>
        <v>VIA DELLA PALA VICINO AL 6-</v>
      </c>
      <c r="C30" t="str">
        <f t="shared" si="4"/>
        <v>7</v>
      </c>
      <c r="D30">
        <v>7</v>
      </c>
      <c r="E30" t="str">
        <f>"99999"</f>
        <v>99999</v>
      </c>
      <c r="F30" t="str">
        <f t="shared" si="1"/>
        <v>0000</v>
      </c>
    </row>
    <row r="31" spans="1:6">
      <c r="A31" t="str">
        <f>"T42-3"</f>
        <v>T42-3</v>
      </c>
      <c r="B31" t="str">
        <f>"VIA DELLA PALA VICINO AL 6-"</f>
        <v>VIA DELLA PALA VICINO AL 6-</v>
      </c>
      <c r="C31" t="str">
        <f t="shared" si="4"/>
        <v>7</v>
      </c>
      <c r="D31">
        <v>7</v>
      </c>
      <c r="E31" t="str">
        <f>"99999"</f>
        <v>99999</v>
      </c>
      <c r="F31" t="str">
        <f t="shared" si="1"/>
        <v>0000</v>
      </c>
    </row>
    <row r="32" spans="1:6">
      <c r="A32" t="str">
        <f>"T45-1"</f>
        <v>T45-1</v>
      </c>
      <c r="B32" t="str">
        <f>"CORSO EUROPA VICINO AL 732-"</f>
        <v>CORSO EUROPA VICINO AL 732-</v>
      </c>
      <c r="C32" t="str">
        <f t="shared" si="4"/>
        <v>7</v>
      </c>
      <c r="D32">
        <v>3</v>
      </c>
      <c r="E32" t="str">
        <f>"99999"</f>
        <v>99999</v>
      </c>
      <c r="F32" t="str">
        <f t="shared" si="1"/>
        <v>0000</v>
      </c>
    </row>
    <row r="33" spans="1:6">
      <c r="A33" t="str">
        <f>"T46-1"</f>
        <v>T46-1</v>
      </c>
      <c r="B33" t="str">
        <f>"VIA PIERO FRANGIONI VICINO AL 4-"</f>
        <v>VIA PIERO FRANGIONI VICINO AL 4-</v>
      </c>
      <c r="C33" t="str">
        <f t="shared" si="4"/>
        <v>7</v>
      </c>
      <c r="D33">
        <v>3</v>
      </c>
      <c r="E33" t="str">
        <f>"99999"</f>
        <v>99999</v>
      </c>
      <c r="F33" t="str">
        <f t="shared" si="1"/>
        <v>0000</v>
      </c>
    </row>
    <row r="34" spans="1:6">
      <c r="A34" t="str">
        <f>"T46-2"</f>
        <v>T46-2</v>
      </c>
      <c r="B34" t="str">
        <f>"VIA PIERO FRANGIONI VICINO AL 4-"</f>
        <v>VIA PIERO FRANGIONI VICINO AL 4-</v>
      </c>
      <c r="C34" t="str">
        <f t="shared" si="4"/>
        <v>7</v>
      </c>
      <c r="D34">
        <v>3</v>
      </c>
      <c r="E34" t="str">
        <f>"97"</f>
        <v>97</v>
      </c>
      <c r="F34" t="str">
        <f t="shared" si="1"/>
        <v>0000</v>
      </c>
    </row>
    <row r="35" spans="1:6">
      <c r="A35" t="str">
        <f>"T47-1"</f>
        <v>T47-1</v>
      </c>
      <c r="B35" t="str">
        <f>"VIA DOMENICO INDUNO VICINO AL 11-"</f>
        <v>VIA DOMENICO INDUNO VICINO AL 11-</v>
      </c>
      <c r="C35" t="str">
        <f>"5"</f>
        <v>5</v>
      </c>
      <c r="D35">
        <v>47</v>
      </c>
      <c r="E35" t="str">
        <f>"685"</f>
        <v>685</v>
      </c>
      <c r="F35" t="str">
        <f t="shared" si="1"/>
        <v>0000</v>
      </c>
    </row>
    <row r="36" spans="1:6">
      <c r="A36" t="str">
        <f>"T50-1"</f>
        <v>T50-1</v>
      </c>
      <c r="B36" t="str">
        <f>"VIA MANTINI VICINO AL 1-"</f>
        <v>VIA MANTINI VICINO AL 1-</v>
      </c>
      <c r="C36" t="str">
        <f t="shared" ref="C36:C69" si="5">"9"</f>
        <v>9</v>
      </c>
      <c r="D36">
        <v>9</v>
      </c>
      <c r="E36" t="str">
        <f>"80"</f>
        <v>80</v>
      </c>
      <c r="F36" t="str">
        <f t="shared" si="1"/>
        <v>0000</v>
      </c>
    </row>
    <row r="37" spans="1:6">
      <c r="A37" t="str">
        <f>"T52-1"</f>
        <v>T52-1</v>
      </c>
      <c r="B37" t="str">
        <f>"VIA MOLINETTI DI NERVI VICINO AL 85-"</f>
        <v>VIA MOLINETTI DI NERVI VICINO AL 85-</v>
      </c>
      <c r="C37" t="str">
        <f t="shared" si="5"/>
        <v>9</v>
      </c>
      <c r="D37">
        <v>4</v>
      </c>
      <c r="E37" t="str">
        <f>"35"</f>
        <v>35</v>
      </c>
      <c r="F37" t="str">
        <f t="shared" si="1"/>
        <v>0000</v>
      </c>
    </row>
    <row r="38" spans="1:6">
      <c r="A38" t="str">
        <f>"T52-2"</f>
        <v>T52-2</v>
      </c>
      <c r="B38" t="str">
        <f>"VIA MOLINETTI DI NERVI VICINO AL 85-"</f>
        <v>VIA MOLINETTI DI NERVI VICINO AL 85-</v>
      </c>
      <c r="C38" t="str">
        <f t="shared" si="5"/>
        <v>9</v>
      </c>
      <c r="D38">
        <v>4</v>
      </c>
      <c r="E38" t="str">
        <f>"36"</f>
        <v>36</v>
      </c>
      <c r="F38" t="str">
        <f t="shared" si="1"/>
        <v>0000</v>
      </c>
    </row>
    <row r="39" spans="1:6">
      <c r="A39" t="str">
        <f>"T52-3"</f>
        <v>T52-3</v>
      </c>
      <c r="B39" t="str">
        <f>"VIA MOLINETTI DI NERVI VICINO AL 85-"</f>
        <v>VIA MOLINETTI DI NERVI VICINO AL 85-</v>
      </c>
      <c r="C39" t="str">
        <f t="shared" si="5"/>
        <v>9</v>
      </c>
      <c r="D39">
        <v>4</v>
      </c>
      <c r="E39" t="str">
        <f>"102"</f>
        <v>102</v>
      </c>
      <c r="F39" t="str">
        <f t="shared" si="1"/>
        <v>0000</v>
      </c>
    </row>
    <row r="40" spans="1:6">
      <c r="A40" t="str">
        <f>"T52-4"</f>
        <v>T52-4</v>
      </c>
      <c r="B40" t="str">
        <f>"VIA MOLINETTI DI NERVI VICINO AL 85-"</f>
        <v>VIA MOLINETTI DI NERVI VICINO AL 85-</v>
      </c>
      <c r="C40" t="str">
        <f t="shared" si="5"/>
        <v>9</v>
      </c>
      <c r="D40">
        <v>4</v>
      </c>
      <c r="E40" t="str">
        <f>"126"</f>
        <v>126</v>
      </c>
      <c r="F40" t="str">
        <f t="shared" si="1"/>
        <v>0000</v>
      </c>
    </row>
    <row r="41" spans="1:6">
      <c r="A41" t="str">
        <f>"T53-1"</f>
        <v>T53-1</v>
      </c>
      <c r="B41" t="str">
        <f>"VIA CALCINARA DI NERVI VICINO AL 3-"</f>
        <v>VIA CALCINARA DI NERVI VICINO AL 3-</v>
      </c>
      <c r="C41" t="str">
        <f t="shared" si="5"/>
        <v>9</v>
      </c>
      <c r="D41">
        <v>6</v>
      </c>
      <c r="E41" t="str">
        <f>"76"</f>
        <v>76</v>
      </c>
      <c r="F41" t="str">
        <f t="shared" si="1"/>
        <v>0000</v>
      </c>
    </row>
    <row r="42" spans="1:6">
      <c r="A42" t="str">
        <f>"T54-1"</f>
        <v>T54-1</v>
      </c>
      <c r="B42" t="str">
        <f t="shared" ref="B42:B58" si="6">"VIA CAPOLUNGO  9-"</f>
        <v>VIA CAPOLUNGO  9-</v>
      </c>
      <c r="C42" t="str">
        <f t="shared" si="5"/>
        <v>9</v>
      </c>
      <c r="D42">
        <v>11</v>
      </c>
      <c r="E42" t="str">
        <f>"133"</f>
        <v>133</v>
      </c>
      <c r="F42" t="str">
        <f t="shared" si="1"/>
        <v>0000</v>
      </c>
    </row>
    <row r="43" spans="1:6">
      <c r="A43" t="str">
        <f>"T54-2"</f>
        <v>T54-2</v>
      </c>
      <c r="B43" t="str">
        <f t="shared" si="6"/>
        <v>VIA CAPOLUNGO  9-</v>
      </c>
      <c r="C43" t="str">
        <f t="shared" si="5"/>
        <v>9</v>
      </c>
      <c r="D43">
        <v>11</v>
      </c>
      <c r="E43" t="str">
        <f>"134"</f>
        <v>134</v>
      </c>
      <c r="F43" t="str">
        <f t="shared" si="1"/>
        <v>0000</v>
      </c>
    </row>
    <row r="44" spans="1:6">
      <c r="A44" t="str">
        <f>"T54-3"</f>
        <v>T54-3</v>
      </c>
      <c r="B44" t="str">
        <f t="shared" si="6"/>
        <v>VIA CAPOLUNGO  9-</v>
      </c>
      <c r="C44" t="str">
        <f t="shared" si="5"/>
        <v>9</v>
      </c>
      <c r="D44">
        <v>11</v>
      </c>
      <c r="E44" t="str">
        <f>"135"</f>
        <v>135</v>
      </c>
      <c r="F44" t="str">
        <f t="shared" si="1"/>
        <v>0000</v>
      </c>
    </row>
    <row r="45" spans="1:6">
      <c r="A45" t="str">
        <f>"T54-4"</f>
        <v>T54-4</v>
      </c>
      <c r="B45" t="str">
        <f t="shared" si="6"/>
        <v>VIA CAPOLUNGO  9-</v>
      </c>
      <c r="C45" t="str">
        <f t="shared" si="5"/>
        <v>9</v>
      </c>
      <c r="D45">
        <v>11</v>
      </c>
      <c r="E45" t="str">
        <f>"344"</f>
        <v>344</v>
      </c>
      <c r="F45" t="str">
        <f t="shared" si="1"/>
        <v>0000</v>
      </c>
    </row>
    <row r="46" spans="1:6">
      <c r="A46" t="str">
        <f>"T54-5"</f>
        <v>T54-5</v>
      </c>
      <c r="B46" t="str">
        <f t="shared" si="6"/>
        <v>VIA CAPOLUNGO  9-</v>
      </c>
      <c r="C46" t="str">
        <f t="shared" si="5"/>
        <v>9</v>
      </c>
      <c r="D46">
        <v>11</v>
      </c>
      <c r="E46" t="str">
        <f>"170"</f>
        <v>170</v>
      </c>
      <c r="F46" t="str">
        <f t="shared" si="1"/>
        <v>0000</v>
      </c>
    </row>
    <row r="47" spans="1:6">
      <c r="A47" t="str">
        <f>"T54-6"</f>
        <v>T54-6</v>
      </c>
      <c r="B47" t="str">
        <f t="shared" si="6"/>
        <v>VIA CAPOLUNGO  9-</v>
      </c>
      <c r="C47" t="str">
        <f t="shared" si="5"/>
        <v>9</v>
      </c>
      <c r="D47">
        <v>11</v>
      </c>
      <c r="E47" t="str">
        <f>"171"</f>
        <v>171</v>
      </c>
      <c r="F47" t="str">
        <f t="shared" si="1"/>
        <v>0000</v>
      </c>
    </row>
    <row r="48" spans="1:6">
      <c r="A48" t="str">
        <f>"T54-7"</f>
        <v>T54-7</v>
      </c>
      <c r="B48" t="str">
        <f t="shared" si="6"/>
        <v>VIA CAPOLUNGO  9-</v>
      </c>
      <c r="C48" t="str">
        <f t="shared" si="5"/>
        <v>9</v>
      </c>
      <c r="D48">
        <v>11</v>
      </c>
      <c r="E48" t="str">
        <f>"173"</f>
        <v>173</v>
      </c>
      <c r="F48" t="str">
        <f t="shared" si="1"/>
        <v>0000</v>
      </c>
    </row>
    <row r="49" spans="1:6">
      <c r="A49" t="str">
        <f>"T54-8"</f>
        <v>T54-8</v>
      </c>
      <c r="B49" t="str">
        <f t="shared" si="6"/>
        <v>VIA CAPOLUNGO  9-</v>
      </c>
      <c r="C49" t="str">
        <f t="shared" si="5"/>
        <v>9</v>
      </c>
      <c r="D49">
        <v>11</v>
      </c>
      <c r="E49" t="str">
        <f>"188"</f>
        <v>188</v>
      </c>
      <c r="F49" t="str">
        <f t="shared" si="1"/>
        <v>0000</v>
      </c>
    </row>
    <row r="50" spans="1:6">
      <c r="A50" t="str">
        <f>"T54-9"</f>
        <v>T54-9</v>
      </c>
      <c r="B50" t="str">
        <f t="shared" si="6"/>
        <v>VIA CAPOLUNGO  9-</v>
      </c>
      <c r="C50" t="str">
        <f t="shared" si="5"/>
        <v>9</v>
      </c>
      <c r="D50">
        <v>11</v>
      </c>
      <c r="E50" t="str">
        <f>"193"</f>
        <v>193</v>
      </c>
      <c r="F50" t="str">
        <f t="shared" si="1"/>
        <v>0000</v>
      </c>
    </row>
    <row r="51" spans="1:6">
      <c r="A51" t="str">
        <f>"T54-10"</f>
        <v>T54-10</v>
      </c>
      <c r="B51" t="str">
        <f t="shared" si="6"/>
        <v>VIA CAPOLUNGO  9-</v>
      </c>
      <c r="C51" t="str">
        <f t="shared" si="5"/>
        <v>9</v>
      </c>
      <c r="D51">
        <v>11</v>
      </c>
      <c r="E51" t="str">
        <f>"194"</f>
        <v>194</v>
      </c>
      <c r="F51" t="str">
        <f t="shared" si="1"/>
        <v>0000</v>
      </c>
    </row>
    <row r="52" spans="1:6">
      <c r="A52" t="str">
        <f>"T54-11"</f>
        <v>T54-11</v>
      </c>
      <c r="B52" t="str">
        <f t="shared" si="6"/>
        <v>VIA CAPOLUNGO  9-</v>
      </c>
      <c r="C52" t="str">
        <f t="shared" si="5"/>
        <v>9</v>
      </c>
      <c r="D52">
        <v>11</v>
      </c>
      <c r="E52" t="str">
        <f>"321"</f>
        <v>321</v>
      </c>
      <c r="F52" t="str">
        <f t="shared" si="1"/>
        <v>0000</v>
      </c>
    </row>
    <row r="53" spans="1:6">
      <c r="A53" t="str">
        <f>"T54-12"</f>
        <v>T54-12</v>
      </c>
      <c r="B53" t="str">
        <f t="shared" si="6"/>
        <v>VIA CAPOLUNGO  9-</v>
      </c>
      <c r="C53" t="str">
        <f t="shared" si="5"/>
        <v>9</v>
      </c>
      <c r="D53">
        <v>11</v>
      </c>
      <c r="E53" t="str">
        <f>"136"</f>
        <v>136</v>
      </c>
      <c r="F53" t="str">
        <f t="shared" si="1"/>
        <v>0000</v>
      </c>
    </row>
    <row r="54" spans="1:6">
      <c r="A54" t="str">
        <f>"T54-13"</f>
        <v>T54-13</v>
      </c>
      <c r="B54" t="str">
        <f t="shared" si="6"/>
        <v>VIA CAPOLUNGO  9-</v>
      </c>
      <c r="C54" t="str">
        <f t="shared" si="5"/>
        <v>9</v>
      </c>
      <c r="D54">
        <v>11</v>
      </c>
      <c r="E54" t="str">
        <f>"219"</f>
        <v>219</v>
      </c>
      <c r="F54" t="str">
        <f t="shared" si="1"/>
        <v>0000</v>
      </c>
    </row>
    <row r="55" spans="1:6">
      <c r="A55" t="str">
        <f>"T54-14"</f>
        <v>T54-14</v>
      </c>
      <c r="B55" t="str">
        <f t="shared" si="6"/>
        <v>VIA CAPOLUNGO  9-</v>
      </c>
      <c r="C55" t="str">
        <f t="shared" si="5"/>
        <v>9</v>
      </c>
      <c r="D55">
        <v>11</v>
      </c>
      <c r="E55" t="str">
        <f>"319"</f>
        <v>319</v>
      </c>
      <c r="F55" t="str">
        <f t="shared" si="1"/>
        <v>0000</v>
      </c>
    </row>
    <row r="56" spans="1:6">
      <c r="A56" t="str">
        <f>"T54-15"</f>
        <v>T54-15</v>
      </c>
      <c r="B56" t="str">
        <f t="shared" si="6"/>
        <v>VIA CAPOLUNGO  9-</v>
      </c>
      <c r="C56" t="str">
        <f t="shared" si="5"/>
        <v>9</v>
      </c>
      <c r="D56">
        <v>11</v>
      </c>
      <c r="E56" t="str">
        <f>"205"</f>
        <v>205</v>
      </c>
      <c r="F56" t="str">
        <f t="shared" si="1"/>
        <v>0000</v>
      </c>
    </row>
    <row r="57" spans="1:6">
      <c r="A57" t="str">
        <f>"T54-16"</f>
        <v>T54-16</v>
      </c>
      <c r="B57" t="str">
        <f t="shared" si="6"/>
        <v>VIA CAPOLUNGO  9-</v>
      </c>
      <c r="C57" t="str">
        <f t="shared" si="5"/>
        <v>9</v>
      </c>
      <c r="D57">
        <v>11</v>
      </c>
      <c r="E57" t="str">
        <f>"220"</f>
        <v>220</v>
      </c>
      <c r="F57" t="str">
        <f t="shared" si="1"/>
        <v>0000</v>
      </c>
    </row>
    <row r="58" spans="1:6">
      <c r="A58" t="str">
        <f>"T54-17"</f>
        <v>T54-17</v>
      </c>
      <c r="B58" t="str">
        <f t="shared" si="6"/>
        <v>VIA CAPOLUNGO  9-</v>
      </c>
      <c r="C58" t="str">
        <f t="shared" si="5"/>
        <v>9</v>
      </c>
      <c r="D58">
        <v>11</v>
      </c>
      <c r="E58" t="str">
        <f>"221"</f>
        <v>221</v>
      </c>
      <c r="F58" t="str">
        <f t="shared" si="1"/>
        <v>0000</v>
      </c>
    </row>
    <row r="59" spans="1:6">
      <c r="A59" t="str">
        <f>"T55-1"</f>
        <v>T55-1</v>
      </c>
      <c r="B59" t="str">
        <f t="shared" ref="B59:B69" si="7">"COMUNAGLIE NERVI (PARTIC. NON CONTIGUE)"</f>
        <v>COMUNAGLIE NERVI (PARTIC. NON CONTIGUE)</v>
      </c>
      <c r="C59" t="str">
        <f t="shared" si="5"/>
        <v>9</v>
      </c>
      <c r="D59">
        <v>1</v>
      </c>
      <c r="E59" t="str">
        <f>"17"</f>
        <v>17</v>
      </c>
      <c r="F59" t="str">
        <f t="shared" si="1"/>
        <v>0000</v>
      </c>
    </row>
    <row r="60" spans="1:6">
      <c r="A60" t="str">
        <f>"T55-2"</f>
        <v>T55-2</v>
      </c>
      <c r="B60" t="str">
        <f t="shared" si="7"/>
        <v>COMUNAGLIE NERVI (PARTIC. NON CONTIGUE)</v>
      </c>
      <c r="C60" t="str">
        <f t="shared" si="5"/>
        <v>9</v>
      </c>
      <c r="D60">
        <v>1</v>
      </c>
      <c r="E60" t="str">
        <f>"57"</f>
        <v>57</v>
      </c>
      <c r="F60" t="str">
        <f t="shared" si="1"/>
        <v>0000</v>
      </c>
    </row>
    <row r="61" spans="1:6">
      <c r="A61" t="str">
        <f>"T55-3"</f>
        <v>T55-3</v>
      </c>
      <c r="B61" t="str">
        <f t="shared" si="7"/>
        <v>COMUNAGLIE NERVI (PARTIC. NON CONTIGUE)</v>
      </c>
      <c r="C61" t="str">
        <f t="shared" si="5"/>
        <v>9</v>
      </c>
      <c r="D61">
        <v>1</v>
      </c>
      <c r="E61" t="str">
        <f>"58"</f>
        <v>58</v>
      </c>
      <c r="F61" t="str">
        <f t="shared" si="1"/>
        <v>0000</v>
      </c>
    </row>
    <row r="62" spans="1:6">
      <c r="A62" t="str">
        <f>"T55-4"</f>
        <v>T55-4</v>
      </c>
      <c r="B62" t="str">
        <f t="shared" si="7"/>
        <v>COMUNAGLIE NERVI (PARTIC. NON CONTIGUE)</v>
      </c>
      <c r="C62" t="str">
        <f t="shared" si="5"/>
        <v>9</v>
      </c>
      <c r="D62">
        <v>1</v>
      </c>
      <c r="E62" t="str">
        <f>"68"</f>
        <v>68</v>
      </c>
      <c r="F62" t="str">
        <f t="shared" si="1"/>
        <v>0000</v>
      </c>
    </row>
    <row r="63" spans="1:6">
      <c r="A63" t="str">
        <f>"T55-5"</f>
        <v>T55-5</v>
      </c>
      <c r="B63" t="str">
        <f t="shared" si="7"/>
        <v>COMUNAGLIE NERVI (PARTIC. NON CONTIGUE)</v>
      </c>
      <c r="C63" t="str">
        <f t="shared" si="5"/>
        <v>9</v>
      </c>
      <c r="D63">
        <v>1</v>
      </c>
      <c r="E63" t="str">
        <f>"80"</f>
        <v>80</v>
      </c>
      <c r="F63" t="str">
        <f t="shared" si="1"/>
        <v>0000</v>
      </c>
    </row>
    <row r="64" spans="1:6">
      <c r="A64" t="str">
        <f>"T55-6"</f>
        <v>T55-6</v>
      </c>
      <c r="B64" t="str">
        <f t="shared" si="7"/>
        <v>COMUNAGLIE NERVI (PARTIC. NON CONTIGUE)</v>
      </c>
      <c r="C64" t="str">
        <f t="shared" si="5"/>
        <v>9</v>
      </c>
      <c r="D64">
        <v>1</v>
      </c>
      <c r="E64" t="str">
        <f>"85"</f>
        <v>85</v>
      </c>
      <c r="F64" t="str">
        <f t="shared" si="1"/>
        <v>0000</v>
      </c>
    </row>
    <row r="65" spans="1:6">
      <c r="A65" t="str">
        <f>"T55-7"</f>
        <v>T55-7</v>
      </c>
      <c r="B65" t="str">
        <f t="shared" si="7"/>
        <v>COMUNAGLIE NERVI (PARTIC. NON CONTIGUE)</v>
      </c>
      <c r="C65" t="str">
        <f t="shared" si="5"/>
        <v>9</v>
      </c>
      <c r="D65">
        <v>2</v>
      </c>
      <c r="E65" t="str">
        <f>"6"</f>
        <v>6</v>
      </c>
      <c r="F65" t="str">
        <f t="shared" si="1"/>
        <v>0000</v>
      </c>
    </row>
    <row r="66" spans="1:6">
      <c r="A66" t="str">
        <f>"T55-8"</f>
        <v>T55-8</v>
      </c>
      <c r="B66" t="str">
        <f t="shared" si="7"/>
        <v>COMUNAGLIE NERVI (PARTIC. NON CONTIGUE)</v>
      </c>
      <c r="C66" t="str">
        <f t="shared" si="5"/>
        <v>9</v>
      </c>
      <c r="D66">
        <v>2</v>
      </c>
      <c r="E66" t="str">
        <f>"11"</f>
        <v>11</v>
      </c>
      <c r="F66" t="str">
        <f t="shared" ref="F66:F129" si="8">"0000"</f>
        <v>0000</v>
      </c>
    </row>
    <row r="67" spans="1:6">
      <c r="A67" t="str">
        <f>"T55-9"</f>
        <v>T55-9</v>
      </c>
      <c r="B67" t="str">
        <f t="shared" si="7"/>
        <v>COMUNAGLIE NERVI (PARTIC. NON CONTIGUE)</v>
      </c>
      <c r="C67" t="str">
        <f t="shared" si="5"/>
        <v>9</v>
      </c>
      <c r="D67">
        <v>2</v>
      </c>
      <c r="E67" t="str">
        <f>"25"</f>
        <v>25</v>
      </c>
      <c r="F67" t="str">
        <f t="shared" si="8"/>
        <v>0000</v>
      </c>
    </row>
    <row r="68" spans="1:6">
      <c r="A68" t="str">
        <f>"T55-10"</f>
        <v>T55-10</v>
      </c>
      <c r="B68" t="str">
        <f t="shared" si="7"/>
        <v>COMUNAGLIE NERVI (PARTIC. NON CONTIGUE)</v>
      </c>
      <c r="C68" t="str">
        <f t="shared" si="5"/>
        <v>9</v>
      </c>
      <c r="D68">
        <v>2</v>
      </c>
      <c r="E68" t="str">
        <f>"39"</f>
        <v>39</v>
      </c>
      <c r="F68" t="str">
        <f t="shared" si="8"/>
        <v>0000</v>
      </c>
    </row>
    <row r="69" spans="1:6">
      <c r="A69" t="str">
        <f>"T55-11"</f>
        <v>T55-11</v>
      </c>
      <c r="B69" t="str">
        <f t="shared" si="7"/>
        <v>COMUNAGLIE NERVI (PARTIC. NON CONTIGUE)</v>
      </c>
      <c r="C69" t="str">
        <f t="shared" si="5"/>
        <v>9</v>
      </c>
      <c r="D69">
        <v>2</v>
      </c>
      <c r="E69" t="str">
        <f>"81"</f>
        <v>81</v>
      </c>
      <c r="F69" t="str">
        <f t="shared" si="8"/>
        <v>0000</v>
      </c>
    </row>
    <row r="70" spans="1:6">
      <c r="A70" t="str">
        <f>"T56-1"</f>
        <v>T56-1</v>
      </c>
      <c r="B70" t="str">
        <f t="shared" ref="B70:B116" si="9">"COMUNAGLIE DI S.ILARIO(PAR.NON CONTIGUE)"</f>
        <v>COMUNAGLIE DI S.ILARIO(PAR.NON CONTIGUE)</v>
      </c>
      <c r="C70" t="str">
        <f t="shared" ref="C70:C116" si="10">"10"</f>
        <v>10</v>
      </c>
      <c r="D70">
        <v>3</v>
      </c>
      <c r="E70" t="str">
        <f>"5"</f>
        <v>5</v>
      </c>
      <c r="F70" t="str">
        <f t="shared" si="8"/>
        <v>0000</v>
      </c>
    </row>
    <row r="71" spans="1:6">
      <c r="A71" t="str">
        <f>"T56-2"</f>
        <v>T56-2</v>
      </c>
      <c r="B71" t="str">
        <f t="shared" si="9"/>
        <v>COMUNAGLIE DI S.ILARIO(PAR.NON CONTIGUE)</v>
      </c>
      <c r="C71" t="str">
        <f t="shared" si="10"/>
        <v>10</v>
      </c>
      <c r="D71">
        <v>3</v>
      </c>
      <c r="E71" t="str">
        <f>"19"</f>
        <v>19</v>
      </c>
      <c r="F71" t="str">
        <f t="shared" si="8"/>
        <v>0000</v>
      </c>
    </row>
    <row r="72" spans="1:6">
      <c r="A72" t="str">
        <f>"T56-3"</f>
        <v>T56-3</v>
      </c>
      <c r="B72" t="str">
        <f t="shared" si="9"/>
        <v>COMUNAGLIE DI S.ILARIO(PAR.NON CONTIGUE)</v>
      </c>
      <c r="C72" t="str">
        <f t="shared" si="10"/>
        <v>10</v>
      </c>
      <c r="D72">
        <v>3</v>
      </c>
      <c r="E72" t="str">
        <f>"43"</f>
        <v>43</v>
      </c>
      <c r="F72" t="str">
        <f t="shared" si="8"/>
        <v>0000</v>
      </c>
    </row>
    <row r="73" spans="1:6">
      <c r="A73" t="str">
        <f>"T56-4"</f>
        <v>T56-4</v>
      </c>
      <c r="B73" t="str">
        <f t="shared" si="9"/>
        <v>COMUNAGLIE DI S.ILARIO(PAR.NON CONTIGUE)</v>
      </c>
      <c r="C73" t="str">
        <f t="shared" si="10"/>
        <v>10</v>
      </c>
      <c r="D73">
        <v>3</v>
      </c>
      <c r="E73" t="str">
        <f>"74"</f>
        <v>74</v>
      </c>
      <c r="F73" t="str">
        <f t="shared" si="8"/>
        <v>0000</v>
      </c>
    </row>
    <row r="74" spans="1:6">
      <c r="A74" t="str">
        <f>"T56-5"</f>
        <v>T56-5</v>
      </c>
      <c r="B74" t="str">
        <f t="shared" si="9"/>
        <v>COMUNAGLIE DI S.ILARIO(PAR.NON CONTIGUE)</v>
      </c>
      <c r="C74" t="str">
        <f t="shared" si="10"/>
        <v>10</v>
      </c>
      <c r="D74">
        <v>3</v>
      </c>
      <c r="E74" t="str">
        <f>"98"</f>
        <v>98</v>
      </c>
      <c r="F74" t="str">
        <f t="shared" si="8"/>
        <v>0000</v>
      </c>
    </row>
    <row r="75" spans="1:6">
      <c r="A75" t="str">
        <f>"T56-6"</f>
        <v>T56-6</v>
      </c>
      <c r="B75" t="str">
        <f t="shared" si="9"/>
        <v>COMUNAGLIE DI S.ILARIO(PAR.NON CONTIGUE)</v>
      </c>
      <c r="C75" t="str">
        <f t="shared" si="10"/>
        <v>10</v>
      </c>
      <c r="D75">
        <v>3</v>
      </c>
      <c r="E75" t="str">
        <f>"154"</f>
        <v>154</v>
      </c>
      <c r="F75" t="str">
        <f t="shared" si="8"/>
        <v>0000</v>
      </c>
    </row>
    <row r="76" spans="1:6">
      <c r="A76" t="str">
        <f>"T56-7"</f>
        <v>T56-7</v>
      </c>
      <c r="B76" t="str">
        <f t="shared" si="9"/>
        <v>COMUNAGLIE DI S.ILARIO(PAR.NON CONTIGUE)</v>
      </c>
      <c r="C76" t="str">
        <f t="shared" si="10"/>
        <v>10</v>
      </c>
      <c r="D76">
        <v>3</v>
      </c>
      <c r="E76" t="str">
        <f>"157"</f>
        <v>157</v>
      </c>
      <c r="F76" t="str">
        <f t="shared" si="8"/>
        <v>0000</v>
      </c>
    </row>
    <row r="77" spans="1:6">
      <c r="A77" t="str">
        <f>"T56-8"</f>
        <v>T56-8</v>
      </c>
      <c r="B77" t="str">
        <f t="shared" si="9"/>
        <v>COMUNAGLIE DI S.ILARIO(PAR.NON CONTIGUE)</v>
      </c>
      <c r="C77" t="str">
        <f t="shared" si="10"/>
        <v>10</v>
      </c>
      <c r="D77">
        <v>4</v>
      </c>
      <c r="E77" t="str">
        <f>"1"</f>
        <v>1</v>
      </c>
      <c r="F77" t="str">
        <f t="shared" si="8"/>
        <v>0000</v>
      </c>
    </row>
    <row r="78" spans="1:6">
      <c r="A78" t="str">
        <f>"T56-9"</f>
        <v>T56-9</v>
      </c>
      <c r="B78" t="str">
        <f t="shared" si="9"/>
        <v>COMUNAGLIE DI S.ILARIO(PAR.NON CONTIGUE)</v>
      </c>
      <c r="C78" t="str">
        <f t="shared" si="10"/>
        <v>10</v>
      </c>
      <c r="D78">
        <v>4</v>
      </c>
      <c r="E78" t="str">
        <f>"3"</f>
        <v>3</v>
      </c>
      <c r="F78" t="str">
        <f t="shared" si="8"/>
        <v>0000</v>
      </c>
    </row>
    <row r="79" spans="1:6">
      <c r="A79" t="str">
        <f>"T56-10"</f>
        <v>T56-10</v>
      </c>
      <c r="B79" t="str">
        <f t="shared" si="9"/>
        <v>COMUNAGLIE DI S.ILARIO(PAR.NON CONTIGUE)</v>
      </c>
      <c r="C79" t="str">
        <f t="shared" si="10"/>
        <v>10</v>
      </c>
      <c r="D79">
        <v>4</v>
      </c>
      <c r="E79" t="str">
        <f>"4"</f>
        <v>4</v>
      </c>
      <c r="F79" t="str">
        <f t="shared" si="8"/>
        <v>0000</v>
      </c>
    </row>
    <row r="80" spans="1:6">
      <c r="A80" t="str">
        <f>"T56-11"</f>
        <v>T56-11</v>
      </c>
      <c r="B80" t="str">
        <f t="shared" si="9"/>
        <v>COMUNAGLIE DI S.ILARIO(PAR.NON CONTIGUE)</v>
      </c>
      <c r="C80" t="str">
        <f t="shared" si="10"/>
        <v>10</v>
      </c>
      <c r="D80">
        <v>4</v>
      </c>
      <c r="E80" t="str">
        <f>"5"</f>
        <v>5</v>
      </c>
      <c r="F80" t="str">
        <f t="shared" si="8"/>
        <v>0000</v>
      </c>
    </row>
    <row r="81" spans="1:6">
      <c r="A81" t="str">
        <f>"T56-12"</f>
        <v>T56-12</v>
      </c>
      <c r="B81" t="str">
        <f t="shared" si="9"/>
        <v>COMUNAGLIE DI S.ILARIO(PAR.NON CONTIGUE)</v>
      </c>
      <c r="C81" t="str">
        <f t="shared" si="10"/>
        <v>10</v>
      </c>
      <c r="D81">
        <v>4</v>
      </c>
      <c r="E81" t="str">
        <f>"9"</f>
        <v>9</v>
      </c>
      <c r="F81" t="str">
        <f t="shared" si="8"/>
        <v>0000</v>
      </c>
    </row>
    <row r="82" spans="1:6">
      <c r="A82" t="str">
        <f>"T56-13"</f>
        <v>T56-13</v>
      </c>
      <c r="B82" t="str">
        <f t="shared" si="9"/>
        <v>COMUNAGLIE DI S.ILARIO(PAR.NON CONTIGUE)</v>
      </c>
      <c r="C82" t="str">
        <f t="shared" si="10"/>
        <v>10</v>
      </c>
      <c r="D82">
        <v>4</v>
      </c>
      <c r="E82" t="str">
        <f>"14"</f>
        <v>14</v>
      </c>
      <c r="F82" t="str">
        <f t="shared" si="8"/>
        <v>0000</v>
      </c>
    </row>
    <row r="83" spans="1:6">
      <c r="A83" t="str">
        <f>"T56-14"</f>
        <v>T56-14</v>
      </c>
      <c r="B83" t="str">
        <f t="shared" si="9"/>
        <v>COMUNAGLIE DI S.ILARIO(PAR.NON CONTIGUE)</v>
      </c>
      <c r="C83" t="str">
        <f t="shared" si="10"/>
        <v>10</v>
      </c>
      <c r="D83">
        <v>4</v>
      </c>
      <c r="E83" t="str">
        <f>"16"</f>
        <v>16</v>
      </c>
      <c r="F83" t="str">
        <f t="shared" si="8"/>
        <v>0000</v>
      </c>
    </row>
    <row r="84" spans="1:6">
      <c r="A84" t="str">
        <f>"T56-15"</f>
        <v>T56-15</v>
      </c>
      <c r="B84" t="str">
        <f t="shared" si="9"/>
        <v>COMUNAGLIE DI S.ILARIO(PAR.NON CONTIGUE)</v>
      </c>
      <c r="C84" t="str">
        <f t="shared" si="10"/>
        <v>10</v>
      </c>
      <c r="D84">
        <v>4</v>
      </c>
      <c r="E84" t="str">
        <f>"19"</f>
        <v>19</v>
      </c>
      <c r="F84" t="str">
        <f t="shared" si="8"/>
        <v>0000</v>
      </c>
    </row>
    <row r="85" spans="1:6">
      <c r="A85" t="str">
        <f>"T56-16"</f>
        <v>T56-16</v>
      </c>
      <c r="B85" t="str">
        <f t="shared" si="9"/>
        <v>COMUNAGLIE DI S.ILARIO(PAR.NON CONTIGUE)</v>
      </c>
      <c r="C85" t="str">
        <f t="shared" si="10"/>
        <v>10</v>
      </c>
      <c r="D85">
        <v>4</v>
      </c>
      <c r="E85" t="str">
        <f>"20"</f>
        <v>20</v>
      </c>
      <c r="F85" t="str">
        <f t="shared" si="8"/>
        <v>0000</v>
      </c>
    </row>
    <row r="86" spans="1:6">
      <c r="A86" t="str">
        <f>"T56-17"</f>
        <v>T56-17</v>
      </c>
      <c r="B86" t="str">
        <f t="shared" si="9"/>
        <v>COMUNAGLIE DI S.ILARIO(PAR.NON CONTIGUE)</v>
      </c>
      <c r="C86" t="str">
        <f t="shared" si="10"/>
        <v>10</v>
      </c>
      <c r="D86">
        <v>4</v>
      </c>
      <c r="E86" t="str">
        <f>"23"</f>
        <v>23</v>
      </c>
      <c r="F86" t="str">
        <f t="shared" si="8"/>
        <v>0000</v>
      </c>
    </row>
    <row r="87" spans="1:6">
      <c r="A87" t="str">
        <f>"T56-18"</f>
        <v>T56-18</v>
      </c>
      <c r="B87" t="str">
        <f t="shared" si="9"/>
        <v>COMUNAGLIE DI S.ILARIO(PAR.NON CONTIGUE)</v>
      </c>
      <c r="C87" t="str">
        <f t="shared" si="10"/>
        <v>10</v>
      </c>
      <c r="D87">
        <v>4</v>
      </c>
      <c r="E87" t="str">
        <f>"35"</f>
        <v>35</v>
      </c>
      <c r="F87" t="str">
        <f t="shared" si="8"/>
        <v>0000</v>
      </c>
    </row>
    <row r="88" spans="1:6">
      <c r="A88" t="str">
        <f>"T56-19"</f>
        <v>T56-19</v>
      </c>
      <c r="B88" t="str">
        <f t="shared" si="9"/>
        <v>COMUNAGLIE DI S.ILARIO(PAR.NON CONTIGUE)</v>
      </c>
      <c r="C88" t="str">
        <f t="shared" si="10"/>
        <v>10</v>
      </c>
      <c r="D88">
        <v>4</v>
      </c>
      <c r="E88" t="str">
        <f>"36"</f>
        <v>36</v>
      </c>
      <c r="F88" t="str">
        <f t="shared" si="8"/>
        <v>0000</v>
      </c>
    </row>
    <row r="89" spans="1:6">
      <c r="A89" t="str">
        <f>"T56-20"</f>
        <v>T56-20</v>
      </c>
      <c r="B89" t="str">
        <f t="shared" si="9"/>
        <v>COMUNAGLIE DI S.ILARIO(PAR.NON CONTIGUE)</v>
      </c>
      <c r="C89" t="str">
        <f t="shared" si="10"/>
        <v>10</v>
      </c>
      <c r="D89">
        <v>5</v>
      </c>
      <c r="E89" t="str">
        <f>"14"</f>
        <v>14</v>
      </c>
      <c r="F89" t="str">
        <f t="shared" si="8"/>
        <v>0000</v>
      </c>
    </row>
    <row r="90" spans="1:6">
      <c r="A90" t="str">
        <f>"T56-21"</f>
        <v>T56-21</v>
      </c>
      <c r="B90" t="str">
        <f t="shared" si="9"/>
        <v>COMUNAGLIE DI S.ILARIO(PAR.NON CONTIGUE)</v>
      </c>
      <c r="C90" t="str">
        <f t="shared" si="10"/>
        <v>10</v>
      </c>
      <c r="D90">
        <v>5</v>
      </c>
      <c r="E90" t="str">
        <f>"68"</f>
        <v>68</v>
      </c>
      <c r="F90" t="str">
        <f t="shared" si="8"/>
        <v>0000</v>
      </c>
    </row>
    <row r="91" spans="1:6">
      <c r="A91" t="str">
        <f>"T56-22"</f>
        <v>T56-22</v>
      </c>
      <c r="B91" t="str">
        <f t="shared" si="9"/>
        <v>COMUNAGLIE DI S.ILARIO(PAR.NON CONTIGUE)</v>
      </c>
      <c r="C91" t="str">
        <f t="shared" si="10"/>
        <v>10</v>
      </c>
      <c r="D91">
        <v>5</v>
      </c>
      <c r="E91" t="str">
        <f>"100"</f>
        <v>100</v>
      </c>
      <c r="F91" t="str">
        <f t="shared" si="8"/>
        <v>0000</v>
      </c>
    </row>
    <row r="92" spans="1:6">
      <c r="A92" t="str">
        <f>"T56-23"</f>
        <v>T56-23</v>
      </c>
      <c r="B92" t="str">
        <f t="shared" si="9"/>
        <v>COMUNAGLIE DI S.ILARIO(PAR.NON CONTIGUE)</v>
      </c>
      <c r="C92" t="str">
        <f t="shared" si="10"/>
        <v>10</v>
      </c>
      <c r="D92">
        <v>5</v>
      </c>
      <c r="E92" t="str">
        <f>"101"</f>
        <v>101</v>
      </c>
      <c r="F92" t="str">
        <f t="shared" si="8"/>
        <v>0000</v>
      </c>
    </row>
    <row r="93" spans="1:6">
      <c r="A93" t="str">
        <f>"T56-24"</f>
        <v>T56-24</v>
      </c>
      <c r="B93" t="str">
        <f t="shared" si="9"/>
        <v>COMUNAGLIE DI S.ILARIO(PAR.NON CONTIGUE)</v>
      </c>
      <c r="C93" t="str">
        <f t="shared" si="10"/>
        <v>10</v>
      </c>
      <c r="D93">
        <v>5</v>
      </c>
      <c r="E93" t="str">
        <f>"160"</f>
        <v>160</v>
      </c>
      <c r="F93" t="str">
        <f t="shared" si="8"/>
        <v>0000</v>
      </c>
    </row>
    <row r="94" spans="1:6">
      <c r="A94" t="str">
        <f>"T56-25"</f>
        <v>T56-25</v>
      </c>
      <c r="B94" t="str">
        <f t="shared" si="9"/>
        <v>COMUNAGLIE DI S.ILARIO(PAR.NON CONTIGUE)</v>
      </c>
      <c r="C94" t="str">
        <f t="shared" si="10"/>
        <v>10</v>
      </c>
      <c r="D94">
        <v>5</v>
      </c>
      <c r="E94" t="str">
        <f>"164"</f>
        <v>164</v>
      </c>
      <c r="F94" t="str">
        <f t="shared" si="8"/>
        <v>0000</v>
      </c>
    </row>
    <row r="95" spans="1:6">
      <c r="A95" t="str">
        <f>"T56-26"</f>
        <v>T56-26</v>
      </c>
      <c r="B95" t="str">
        <f t="shared" si="9"/>
        <v>COMUNAGLIE DI S.ILARIO(PAR.NON CONTIGUE)</v>
      </c>
      <c r="C95" t="str">
        <f t="shared" si="10"/>
        <v>10</v>
      </c>
      <c r="D95">
        <v>5</v>
      </c>
      <c r="E95" t="str">
        <f>"167"</f>
        <v>167</v>
      </c>
      <c r="F95" t="str">
        <f t="shared" si="8"/>
        <v>0000</v>
      </c>
    </row>
    <row r="96" spans="1:6">
      <c r="A96" t="str">
        <f>"T56-27"</f>
        <v>T56-27</v>
      </c>
      <c r="B96" t="str">
        <f t="shared" si="9"/>
        <v>COMUNAGLIE DI S.ILARIO(PAR.NON CONTIGUE)</v>
      </c>
      <c r="C96" t="str">
        <f t="shared" si="10"/>
        <v>10</v>
      </c>
      <c r="D96">
        <v>5</v>
      </c>
      <c r="E96" t="str">
        <f>"208"</f>
        <v>208</v>
      </c>
      <c r="F96" t="str">
        <f t="shared" si="8"/>
        <v>0000</v>
      </c>
    </row>
    <row r="97" spans="1:6">
      <c r="A97" t="str">
        <f>"T56-28"</f>
        <v>T56-28</v>
      </c>
      <c r="B97" t="str">
        <f t="shared" si="9"/>
        <v>COMUNAGLIE DI S.ILARIO(PAR.NON CONTIGUE)</v>
      </c>
      <c r="C97" t="str">
        <f t="shared" si="10"/>
        <v>10</v>
      </c>
      <c r="D97">
        <v>5</v>
      </c>
      <c r="E97" t="str">
        <f>"209"</f>
        <v>209</v>
      </c>
      <c r="F97" t="str">
        <f t="shared" si="8"/>
        <v>0000</v>
      </c>
    </row>
    <row r="98" spans="1:6">
      <c r="A98" t="str">
        <f>"T56-29"</f>
        <v>T56-29</v>
      </c>
      <c r="B98" t="str">
        <f t="shared" si="9"/>
        <v>COMUNAGLIE DI S.ILARIO(PAR.NON CONTIGUE)</v>
      </c>
      <c r="C98" t="str">
        <f t="shared" si="10"/>
        <v>10</v>
      </c>
      <c r="D98">
        <v>5</v>
      </c>
      <c r="E98" t="str">
        <f>"210"</f>
        <v>210</v>
      </c>
      <c r="F98" t="str">
        <f t="shared" si="8"/>
        <v>0000</v>
      </c>
    </row>
    <row r="99" spans="1:6">
      <c r="A99" t="str">
        <f>"T56-30"</f>
        <v>T56-30</v>
      </c>
      <c r="B99" t="str">
        <f t="shared" si="9"/>
        <v>COMUNAGLIE DI S.ILARIO(PAR.NON CONTIGUE)</v>
      </c>
      <c r="C99" t="str">
        <f t="shared" si="10"/>
        <v>10</v>
      </c>
      <c r="D99">
        <v>5</v>
      </c>
      <c r="E99" t="str">
        <f>"212"</f>
        <v>212</v>
      </c>
      <c r="F99" t="str">
        <f t="shared" si="8"/>
        <v>0000</v>
      </c>
    </row>
    <row r="100" spans="1:6">
      <c r="A100" t="str">
        <f>"T56-31"</f>
        <v>T56-31</v>
      </c>
      <c r="B100" t="str">
        <f t="shared" si="9"/>
        <v>COMUNAGLIE DI S.ILARIO(PAR.NON CONTIGUE)</v>
      </c>
      <c r="C100" t="str">
        <f t="shared" si="10"/>
        <v>10</v>
      </c>
      <c r="D100">
        <v>5</v>
      </c>
      <c r="E100" t="str">
        <f>"223"</f>
        <v>223</v>
      </c>
      <c r="F100" t="str">
        <f t="shared" si="8"/>
        <v>0000</v>
      </c>
    </row>
    <row r="101" spans="1:6">
      <c r="A101" t="str">
        <f>"T56-32"</f>
        <v>T56-32</v>
      </c>
      <c r="B101" t="str">
        <f t="shared" si="9"/>
        <v>COMUNAGLIE DI S.ILARIO(PAR.NON CONTIGUE)</v>
      </c>
      <c r="C101" t="str">
        <f t="shared" si="10"/>
        <v>10</v>
      </c>
      <c r="D101">
        <v>5</v>
      </c>
      <c r="E101" t="str">
        <f>"233"</f>
        <v>233</v>
      </c>
      <c r="F101" t="str">
        <f t="shared" si="8"/>
        <v>0000</v>
      </c>
    </row>
    <row r="102" spans="1:6">
      <c r="A102" t="str">
        <f>"T56-33"</f>
        <v>T56-33</v>
      </c>
      <c r="B102" t="str">
        <f t="shared" si="9"/>
        <v>COMUNAGLIE DI S.ILARIO(PAR.NON CONTIGUE)</v>
      </c>
      <c r="C102" t="str">
        <f t="shared" si="10"/>
        <v>10</v>
      </c>
      <c r="D102">
        <v>5</v>
      </c>
      <c r="E102" t="str">
        <f>"237"</f>
        <v>237</v>
      </c>
      <c r="F102" t="str">
        <f t="shared" si="8"/>
        <v>0000</v>
      </c>
    </row>
    <row r="103" spans="1:6">
      <c r="A103" t="str">
        <f>"T56-34"</f>
        <v>T56-34</v>
      </c>
      <c r="B103" t="str">
        <f t="shared" si="9"/>
        <v>COMUNAGLIE DI S.ILARIO(PAR.NON CONTIGUE)</v>
      </c>
      <c r="C103" t="str">
        <f t="shared" si="10"/>
        <v>10</v>
      </c>
      <c r="D103">
        <v>5</v>
      </c>
      <c r="E103" t="str">
        <f>"281"</f>
        <v>281</v>
      </c>
      <c r="F103" t="str">
        <f t="shared" si="8"/>
        <v>0000</v>
      </c>
    </row>
    <row r="104" spans="1:6">
      <c r="A104" t="str">
        <f>"T56-35"</f>
        <v>T56-35</v>
      </c>
      <c r="B104" t="str">
        <f t="shared" si="9"/>
        <v>COMUNAGLIE DI S.ILARIO(PAR.NON CONTIGUE)</v>
      </c>
      <c r="C104" t="str">
        <f t="shared" si="10"/>
        <v>10</v>
      </c>
      <c r="D104">
        <v>5</v>
      </c>
      <c r="E104" t="str">
        <f>"288"</f>
        <v>288</v>
      </c>
      <c r="F104" t="str">
        <f t="shared" si="8"/>
        <v>0000</v>
      </c>
    </row>
    <row r="105" spans="1:6">
      <c r="A105" t="str">
        <f>"T56-36"</f>
        <v>T56-36</v>
      </c>
      <c r="B105" t="str">
        <f t="shared" si="9"/>
        <v>COMUNAGLIE DI S.ILARIO(PAR.NON CONTIGUE)</v>
      </c>
      <c r="C105" t="str">
        <f t="shared" si="10"/>
        <v>10</v>
      </c>
      <c r="D105">
        <v>5</v>
      </c>
      <c r="E105" t="str">
        <f>"294"</f>
        <v>294</v>
      </c>
      <c r="F105" t="str">
        <f t="shared" si="8"/>
        <v>0000</v>
      </c>
    </row>
    <row r="106" spans="1:6">
      <c r="A106" t="str">
        <f>"T56-37"</f>
        <v>T56-37</v>
      </c>
      <c r="B106" t="str">
        <f t="shared" si="9"/>
        <v>COMUNAGLIE DI S.ILARIO(PAR.NON CONTIGUE)</v>
      </c>
      <c r="C106" t="str">
        <f t="shared" si="10"/>
        <v>10</v>
      </c>
      <c r="D106">
        <v>6</v>
      </c>
      <c r="E106" t="str">
        <f>"1"</f>
        <v>1</v>
      </c>
      <c r="F106" t="str">
        <f t="shared" si="8"/>
        <v>0000</v>
      </c>
    </row>
    <row r="107" spans="1:6">
      <c r="A107" t="str">
        <f>"T56-39"</f>
        <v>T56-39</v>
      </c>
      <c r="B107" t="str">
        <f t="shared" si="9"/>
        <v>COMUNAGLIE DI S.ILARIO(PAR.NON CONTIGUE)</v>
      </c>
      <c r="C107" t="str">
        <f t="shared" si="10"/>
        <v>10</v>
      </c>
      <c r="D107">
        <v>7</v>
      </c>
      <c r="E107" t="str">
        <f>"10"</f>
        <v>10</v>
      </c>
      <c r="F107" t="str">
        <f t="shared" si="8"/>
        <v>0000</v>
      </c>
    </row>
    <row r="108" spans="1:6">
      <c r="A108" t="str">
        <f>"T56-41"</f>
        <v>T56-41</v>
      </c>
      <c r="B108" t="str">
        <f t="shared" si="9"/>
        <v>COMUNAGLIE DI S.ILARIO(PAR.NON CONTIGUE)</v>
      </c>
      <c r="C108" t="str">
        <f t="shared" si="10"/>
        <v>10</v>
      </c>
      <c r="D108">
        <v>7</v>
      </c>
      <c r="E108" t="str">
        <f>"57"</f>
        <v>57</v>
      </c>
      <c r="F108" t="str">
        <f t="shared" si="8"/>
        <v>0000</v>
      </c>
    </row>
    <row r="109" spans="1:6">
      <c r="A109" t="str">
        <f>"T56-42"</f>
        <v>T56-42</v>
      </c>
      <c r="B109" t="str">
        <f t="shared" si="9"/>
        <v>COMUNAGLIE DI S.ILARIO(PAR.NON CONTIGUE)</v>
      </c>
      <c r="C109" t="str">
        <f t="shared" si="10"/>
        <v>10</v>
      </c>
      <c r="D109">
        <v>7</v>
      </c>
      <c r="E109" t="str">
        <f>"95"</f>
        <v>95</v>
      </c>
      <c r="F109" t="str">
        <f t="shared" si="8"/>
        <v>0000</v>
      </c>
    </row>
    <row r="110" spans="1:6">
      <c r="A110" t="str">
        <f>"T56-43"</f>
        <v>T56-43</v>
      </c>
      <c r="B110" t="str">
        <f t="shared" si="9"/>
        <v>COMUNAGLIE DI S.ILARIO(PAR.NON CONTIGUE)</v>
      </c>
      <c r="C110" t="str">
        <f t="shared" si="10"/>
        <v>10</v>
      </c>
      <c r="D110">
        <v>7</v>
      </c>
      <c r="E110" t="str">
        <f>"110"</f>
        <v>110</v>
      </c>
      <c r="F110" t="str">
        <f t="shared" si="8"/>
        <v>0000</v>
      </c>
    </row>
    <row r="111" spans="1:6">
      <c r="A111" t="str">
        <f>"T56-44"</f>
        <v>T56-44</v>
      </c>
      <c r="B111" t="str">
        <f t="shared" si="9"/>
        <v>COMUNAGLIE DI S.ILARIO(PAR.NON CONTIGUE)</v>
      </c>
      <c r="C111" t="str">
        <f t="shared" si="10"/>
        <v>10</v>
      </c>
      <c r="D111">
        <v>7</v>
      </c>
      <c r="E111" t="str">
        <f>"133"</f>
        <v>133</v>
      </c>
      <c r="F111" t="str">
        <f t="shared" si="8"/>
        <v>0000</v>
      </c>
    </row>
    <row r="112" spans="1:6">
      <c r="A112" t="str">
        <f>"T56-45"</f>
        <v>T56-45</v>
      </c>
      <c r="B112" t="str">
        <f t="shared" si="9"/>
        <v>COMUNAGLIE DI S.ILARIO(PAR.NON CONTIGUE)</v>
      </c>
      <c r="C112" t="str">
        <f t="shared" si="10"/>
        <v>10</v>
      </c>
      <c r="D112">
        <v>7</v>
      </c>
      <c r="E112" t="str">
        <f>"196"</f>
        <v>196</v>
      </c>
      <c r="F112" t="str">
        <f t="shared" si="8"/>
        <v>0000</v>
      </c>
    </row>
    <row r="113" spans="1:6">
      <c r="A113" t="str">
        <f>"T56-46"</f>
        <v>T56-46</v>
      </c>
      <c r="B113" t="str">
        <f t="shared" si="9"/>
        <v>COMUNAGLIE DI S.ILARIO(PAR.NON CONTIGUE)</v>
      </c>
      <c r="C113" t="str">
        <f t="shared" si="10"/>
        <v>10</v>
      </c>
      <c r="D113">
        <v>7</v>
      </c>
      <c r="E113" t="str">
        <f>"251"</f>
        <v>251</v>
      </c>
      <c r="F113" t="str">
        <f t="shared" si="8"/>
        <v>0000</v>
      </c>
    </row>
    <row r="114" spans="1:6">
      <c r="A114" t="str">
        <f>"T56-48"</f>
        <v>T56-48</v>
      </c>
      <c r="B114" t="str">
        <f t="shared" si="9"/>
        <v>COMUNAGLIE DI S.ILARIO(PAR.NON CONTIGUE)</v>
      </c>
      <c r="C114" t="str">
        <f t="shared" si="10"/>
        <v>10</v>
      </c>
      <c r="D114">
        <v>7</v>
      </c>
      <c r="E114" t="str">
        <f>"197"</f>
        <v>197</v>
      </c>
      <c r="F114" t="str">
        <f t="shared" si="8"/>
        <v>0000</v>
      </c>
    </row>
    <row r="115" spans="1:6">
      <c r="A115" t="str">
        <f>"T56-49"</f>
        <v>T56-49</v>
      </c>
      <c r="B115" t="str">
        <f t="shared" si="9"/>
        <v>COMUNAGLIE DI S.ILARIO(PAR.NON CONTIGUE)</v>
      </c>
      <c r="C115" t="str">
        <f t="shared" si="10"/>
        <v>10</v>
      </c>
      <c r="D115">
        <v>8</v>
      </c>
      <c r="E115" t="str">
        <f>"41"</f>
        <v>41</v>
      </c>
      <c r="F115" t="str">
        <f t="shared" si="8"/>
        <v>0000</v>
      </c>
    </row>
    <row r="116" spans="1:6">
      <c r="A116" t="str">
        <f>"T56-50"</f>
        <v>T56-50</v>
      </c>
      <c r="B116" t="str">
        <f t="shared" si="9"/>
        <v>COMUNAGLIE DI S.ILARIO(PAR.NON CONTIGUE)</v>
      </c>
      <c r="C116" t="str">
        <f t="shared" si="10"/>
        <v>10</v>
      </c>
      <c r="D116">
        <v>8</v>
      </c>
      <c r="E116" t="str">
        <f>"193"</f>
        <v>193</v>
      </c>
      <c r="F116" t="str">
        <f t="shared" si="8"/>
        <v>0000</v>
      </c>
    </row>
    <row r="117" spans="1:6">
      <c r="A117" t="str">
        <f>"T60-1"</f>
        <v>T60-1</v>
      </c>
      <c r="B117" t="str">
        <f>"VIA SERRA DI BAVARI VICINO AL 6R-"</f>
        <v>VIA SERRA DI BAVARI VICINO AL 6R-</v>
      </c>
      <c r="C117" t="str">
        <f>"5"</f>
        <v>5</v>
      </c>
      <c r="D117">
        <v>52</v>
      </c>
      <c r="E117" t="str">
        <f>"47"</f>
        <v>47</v>
      </c>
      <c r="F117" t="str">
        <f t="shared" si="8"/>
        <v>0000</v>
      </c>
    </row>
    <row r="118" spans="1:6">
      <c r="A118" t="str">
        <f>"T63-1"</f>
        <v>T63-1</v>
      </c>
      <c r="B118" t="str">
        <f t="shared" ref="B118:B128" si="11">"VIA DEI MARSANO VICINO AL 6-"</f>
        <v>VIA DEI MARSANO VICINO AL 6-</v>
      </c>
      <c r="C118" t="str">
        <f t="shared" ref="C118:C128" si="12">"10"</f>
        <v>10</v>
      </c>
      <c r="D118">
        <v>6</v>
      </c>
      <c r="E118" t="str">
        <f>"371"</f>
        <v>371</v>
      </c>
      <c r="F118" t="str">
        <f t="shared" si="8"/>
        <v>0000</v>
      </c>
    </row>
    <row r="119" spans="1:6">
      <c r="A119" t="str">
        <f>"T63-2"</f>
        <v>T63-2</v>
      </c>
      <c r="B119" t="str">
        <f t="shared" si="11"/>
        <v>VIA DEI MARSANO VICINO AL 6-</v>
      </c>
      <c r="C119" t="str">
        <f t="shared" si="12"/>
        <v>10</v>
      </c>
      <c r="D119">
        <v>6</v>
      </c>
      <c r="E119" t="str">
        <f>"99999"</f>
        <v>99999</v>
      </c>
      <c r="F119" t="str">
        <f t="shared" si="8"/>
        <v>0000</v>
      </c>
    </row>
    <row r="120" spans="1:6">
      <c r="A120" t="str">
        <f>"T63-3"</f>
        <v>T63-3</v>
      </c>
      <c r="B120" t="str">
        <f t="shared" si="11"/>
        <v>VIA DEI MARSANO VICINO AL 6-</v>
      </c>
      <c r="C120" t="str">
        <f t="shared" si="12"/>
        <v>10</v>
      </c>
      <c r="D120">
        <v>6</v>
      </c>
      <c r="E120" t="str">
        <f>"99999"</f>
        <v>99999</v>
      </c>
      <c r="F120" t="str">
        <f t="shared" si="8"/>
        <v>0000</v>
      </c>
    </row>
    <row r="121" spans="1:6">
      <c r="A121" t="str">
        <f>"T63-4"</f>
        <v>T63-4</v>
      </c>
      <c r="B121" t="str">
        <f t="shared" si="11"/>
        <v>VIA DEI MARSANO VICINO AL 6-</v>
      </c>
      <c r="C121" t="str">
        <f t="shared" si="12"/>
        <v>10</v>
      </c>
      <c r="D121">
        <v>6</v>
      </c>
      <c r="E121" t="str">
        <f>"488"</f>
        <v>488</v>
      </c>
      <c r="F121" t="str">
        <f t="shared" si="8"/>
        <v>0000</v>
      </c>
    </row>
    <row r="122" spans="1:6">
      <c r="A122" t="str">
        <f>"T63-5"</f>
        <v>T63-5</v>
      </c>
      <c r="B122" t="str">
        <f t="shared" si="11"/>
        <v>VIA DEI MARSANO VICINO AL 6-</v>
      </c>
      <c r="C122" t="str">
        <f t="shared" si="12"/>
        <v>10</v>
      </c>
      <c r="D122">
        <v>6</v>
      </c>
      <c r="E122" t="str">
        <f>"489"</f>
        <v>489</v>
      </c>
      <c r="F122" t="str">
        <f t="shared" si="8"/>
        <v>0000</v>
      </c>
    </row>
    <row r="123" spans="1:6">
      <c r="A123" t="str">
        <f>"T63-6"</f>
        <v>T63-6</v>
      </c>
      <c r="B123" t="str">
        <f t="shared" si="11"/>
        <v>VIA DEI MARSANO VICINO AL 6-</v>
      </c>
      <c r="C123" t="str">
        <f t="shared" si="12"/>
        <v>10</v>
      </c>
      <c r="D123">
        <v>6</v>
      </c>
      <c r="E123" t="str">
        <f>"490"</f>
        <v>490</v>
      </c>
      <c r="F123" t="str">
        <f t="shared" si="8"/>
        <v>0000</v>
      </c>
    </row>
    <row r="124" spans="1:6">
      <c r="A124" t="str">
        <f>"T63-7"</f>
        <v>T63-7</v>
      </c>
      <c r="B124" t="str">
        <f t="shared" si="11"/>
        <v>VIA DEI MARSANO VICINO AL 6-</v>
      </c>
      <c r="C124" t="str">
        <f t="shared" si="12"/>
        <v>10</v>
      </c>
      <c r="D124">
        <v>6</v>
      </c>
      <c r="E124" t="str">
        <f>"492"</f>
        <v>492</v>
      </c>
      <c r="F124" t="str">
        <f t="shared" si="8"/>
        <v>0000</v>
      </c>
    </row>
    <row r="125" spans="1:6">
      <c r="A125" t="str">
        <f>"T63-8"</f>
        <v>T63-8</v>
      </c>
      <c r="B125" t="str">
        <f t="shared" si="11"/>
        <v>VIA DEI MARSANO VICINO AL 6-</v>
      </c>
      <c r="C125" t="str">
        <f t="shared" si="12"/>
        <v>10</v>
      </c>
      <c r="D125">
        <v>6</v>
      </c>
      <c r="E125" t="str">
        <f>"99999"</f>
        <v>99999</v>
      </c>
      <c r="F125" t="str">
        <f t="shared" si="8"/>
        <v>0000</v>
      </c>
    </row>
    <row r="126" spans="1:6">
      <c r="A126" t="str">
        <f>"T63-9"</f>
        <v>T63-9</v>
      </c>
      <c r="B126" t="str">
        <f t="shared" si="11"/>
        <v>VIA DEI MARSANO VICINO AL 6-</v>
      </c>
      <c r="C126" t="str">
        <f t="shared" si="12"/>
        <v>10</v>
      </c>
      <c r="D126">
        <v>6</v>
      </c>
      <c r="E126" t="str">
        <f>"99999"</f>
        <v>99999</v>
      </c>
      <c r="F126" t="str">
        <f t="shared" si="8"/>
        <v>0000</v>
      </c>
    </row>
    <row r="127" spans="1:6">
      <c r="A127" t="str">
        <f>"T63-10"</f>
        <v>T63-10</v>
      </c>
      <c r="B127" t="str">
        <f t="shared" si="11"/>
        <v>VIA DEI MARSANO VICINO AL 6-</v>
      </c>
      <c r="C127" t="str">
        <f t="shared" si="12"/>
        <v>10</v>
      </c>
      <c r="D127">
        <v>6</v>
      </c>
      <c r="E127" t="str">
        <f>"99999"</f>
        <v>99999</v>
      </c>
      <c r="F127" t="str">
        <f t="shared" si="8"/>
        <v>0000</v>
      </c>
    </row>
    <row r="128" spans="1:6">
      <c r="A128" t="str">
        <f>"T63-11"</f>
        <v>T63-11</v>
      </c>
      <c r="B128" t="str">
        <f t="shared" si="11"/>
        <v>VIA DEI MARSANO VICINO AL 6-</v>
      </c>
      <c r="C128" t="str">
        <f t="shared" si="12"/>
        <v>10</v>
      </c>
      <c r="D128">
        <v>6</v>
      </c>
      <c r="E128" t="str">
        <f>"495"</f>
        <v>495</v>
      </c>
      <c r="F128" t="str">
        <f t="shared" si="8"/>
        <v>0000</v>
      </c>
    </row>
    <row r="129" spans="1:6">
      <c r="A129" t="str">
        <f>"T64-1"</f>
        <v>T64-1</v>
      </c>
      <c r="B129" t="str">
        <f>"VIA ANGELO GIANELLI VICINO AL 90-"</f>
        <v>VIA ANGELO GIANELLI VICINO AL 90-</v>
      </c>
      <c r="C129" t="str">
        <f>"8"</f>
        <v>8</v>
      </c>
      <c r="D129">
        <v>5</v>
      </c>
      <c r="E129" t="str">
        <f>"289"</f>
        <v>289</v>
      </c>
      <c r="F129" t="str">
        <f t="shared" si="8"/>
        <v>0000</v>
      </c>
    </row>
    <row r="130" spans="1:6">
      <c r="A130" t="str">
        <f>"T64-2"</f>
        <v>T64-2</v>
      </c>
      <c r="B130" t="str">
        <f>"VIA ANGELO GIANELLI VICINO AL 90-"</f>
        <v>VIA ANGELO GIANELLI VICINO AL 90-</v>
      </c>
      <c r="C130" t="str">
        <f>"9"</f>
        <v>9</v>
      </c>
      <c r="D130">
        <v>7</v>
      </c>
      <c r="E130" t="str">
        <f>"99999"</f>
        <v>99999</v>
      </c>
      <c r="F130" t="str">
        <f t="shared" ref="F130:F193" si="13">"0000"</f>
        <v>0000</v>
      </c>
    </row>
    <row r="131" spans="1:6">
      <c r="A131" t="str">
        <f>"T65-1"</f>
        <v>T65-1</v>
      </c>
      <c r="B131" t="str">
        <f>"VIA DEI MARSANO VICINO AL 10-"</f>
        <v>VIA DEI MARSANO VICINO AL 10-</v>
      </c>
      <c r="C131" t="str">
        <f>"10"</f>
        <v>10</v>
      </c>
      <c r="D131">
        <v>6</v>
      </c>
      <c r="E131" t="str">
        <f>"361"</f>
        <v>361</v>
      </c>
      <c r="F131" t="str">
        <f t="shared" si="13"/>
        <v>0000</v>
      </c>
    </row>
    <row r="132" spans="1:6">
      <c r="A132" t="str">
        <f>"T66-1"</f>
        <v>T66-1</v>
      </c>
      <c r="B132" t="str">
        <f>"VIA DONATO SOMMA VICINO AL 51-"</f>
        <v>VIA DONATO SOMMA VICINO AL 51-</v>
      </c>
      <c r="C132" t="str">
        <f>"9"</f>
        <v>9</v>
      </c>
      <c r="D132">
        <v>9</v>
      </c>
      <c r="E132" t="str">
        <f>"99999"</f>
        <v>99999</v>
      </c>
      <c r="F132" t="str">
        <f t="shared" si="13"/>
        <v>0000</v>
      </c>
    </row>
    <row r="133" spans="1:6">
      <c r="A133" t="str">
        <f>"T67-1"</f>
        <v>T67-1</v>
      </c>
      <c r="B133" t="str">
        <f>"VIA MONTE CORNO VICINO AL 56-"</f>
        <v>VIA MONTE CORNO VICINO AL 56-</v>
      </c>
      <c r="C133" t="str">
        <f>"8"</f>
        <v>8</v>
      </c>
      <c r="D133">
        <v>5</v>
      </c>
      <c r="E133" t="str">
        <f>"99999"</f>
        <v>99999</v>
      </c>
      <c r="F133" t="str">
        <f t="shared" si="13"/>
        <v>0000</v>
      </c>
    </row>
    <row r="134" spans="1:6">
      <c r="A134" t="str">
        <f>"T68-1"</f>
        <v>T68-1</v>
      </c>
      <c r="B134" t="str">
        <f>"VIA SUP TORRENTE NERVI VICINO AL 10-"</f>
        <v>VIA SUP TORRENTE NERVI VICINO AL 10-</v>
      </c>
      <c r="C134" t="str">
        <f>"9"</f>
        <v>9</v>
      </c>
      <c r="D134">
        <v>6</v>
      </c>
      <c r="E134" t="str">
        <f>"512"</f>
        <v>512</v>
      </c>
      <c r="F134" t="str">
        <f t="shared" si="13"/>
        <v>0000</v>
      </c>
    </row>
    <row r="135" spans="1:6">
      <c r="A135" t="str">
        <f>"T68-2"</f>
        <v>T68-2</v>
      </c>
      <c r="B135" t="str">
        <f>"VIA SUP TORRENTE NERVI VICINO AL 10-"</f>
        <v>VIA SUP TORRENTE NERVI VICINO AL 10-</v>
      </c>
      <c r="C135" t="str">
        <f>"9"</f>
        <v>9</v>
      </c>
      <c r="D135">
        <v>6</v>
      </c>
      <c r="E135" t="str">
        <f>"513"</f>
        <v>513</v>
      </c>
      <c r="F135" t="str">
        <f t="shared" si="13"/>
        <v>0000</v>
      </c>
    </row>
    <row r="136" spans="1:6">
      <c r="A136" t="str">
        <f>"T70-1"</f>
        <v>T70-1</v>
      </c>
      <c r="B136" t="str">
        <f>"VIA STEFANO CASTAGNOLA VICINO AL 1-"</f>
        <v>VIA STEFANO CASTAGNOLA VICINO AL 1-</v>
      </c>
      <c r="C136" t="str">
        <f>"1"</f>
        <v>1</v>
      </c>
      <c r="D136">
        <v>80</v>
      </c>
      <c r="E136" t="str">
        <f>"99999"</f>
        <v>99999</v>
      </c>
      <c r="F136" t="str">
        <f t="shared" si="13"/>
        <v>0000</v>
      </c>
    </row>
    <row r="137" spans="1:6">
      <c r="A137" t="str">
        <f>"T71-1"</f>
        <v>T71-1</v>
      </c>
      <c r="B137" t="str">
        <f>"VIA QUARTO VICINO AL 20-"</f>
        <v>VIA QUARTO VICINO AL 20-</v>
      </c>
      <c r="C137" t="str">
        <f>"7"</f>
        <v>7</v>
      </c>
      <c r="D137">
        <v>7</v>
      </c>
      <c r="E137" t="str">
        <f>"99999"</f>
        <v>99999</v>
      </c>
      <c r="F137" t="str">
        <f t="shared" si="13"/>
        <v>0000</v>
      </c>
    </row>
    <row r="138" spans="1:6">
      <c r="A138" t="str">
        <f>"T72-1"</f>
        <v>T72-1</v>
      </c>
      <c r="B138" t="str">
        <f>"VIA PRIARUGGIA VICINO AL 12A-"</f>
        <v>VIA PRIARUGGIA VICINO AL 12A-</v>
      </c>
      <c r="C138" t="str">
        <f>"7"</f>
        <v>7</v>
      </c>
      <c r="D138">
        <v>7</v>
      </c>
      <c r="E138" t="str">
        <f>"1469"</f>
        <v>1469</v>
      </c>
      <c r="F138" t="str">
        <f t="shared" si="13"/>
        <v>0000</v>
      </c>
    </row>
    <row r="139" spans="1:6">
      <c r="A139" t="str">
        <f>"T73-1"</f>
        <v>T73-1</v>
      </c>
      <c r="B139" t="str">
        <f>"VIA NICOLA FABRIZI VICINO AL 53-"</f>
        <v>VIA NICOLA FABRIZI VICINO AL 53-</v>
      </c>
      <c r="C139" t="str">
        <f>"7"</f>
        <v>7</v>
      </c>
      <c r="D139">
        <v>7</v>
      </c>
      <c r="E139" t="str">
        <f>"897"</f>
        <v>897</v>
      </c>
      <c r="F139" t="str">
        <f t="shared" si="13"/>
        <v>0000</v>
      </c>
    </row>
    <row r="140" spans="1:6">
      <c r="A140" t="str">
        <f>"T74-1"</f>
        <v>T74-1</v>
      </c>
      <c r="B140" t="str">
        <f>"VIA PRIARUGGIA VICINO AL 50-"</f>
        <v>VIA PRIARUGGIA VICINO AL 50-</v>
      </c>
      <c r="C140" t="str">
        <f>"7"</f>
        <v>7</v>
      </c>
      <c r="D140">
        <v>7</v>
      </c>
      <c r="E140" t="str">
        <f>"50"</f>
        <v>50</v>
      </c>
      <c r="F140" t="str">
        <f t="shared" si="13"/>
        <v>0000</v>
      </c>
    </row>
    <row r="141" spans="1:6">
      <c r="A141" t="str">
        <f>"T74-2"</f>
        <v>T74-2</v>
      </c>
      <c r="B141" t="str">
        <f>"VIA PRIARUGGIA VICINO AL 50-"</f>
        <v>VIA PRIARUGGIA VICINO AL 50-</v>
      </c>
      <c r="C141" t="str">
        <f>"7"</f>
        <v>7</v>
      </c>
      <c r="D141">
        <v>7</v>
      </c>
      <c r="E141" t="str">
        <f>"150"</f>
        <v>150</v>
      </c>
      <c r="F141" t="str">
        <f t="shared" si="13"/>
        <v>0000</v>
      </c>
    </row>
    <row r="142" spans="1:6">
      <c r="A142" t="str">
        <f>"T76-1"</f>
        <v>T76-1</v>
      </c>
      <c r="B142" t="str">
        <f>"PIAZZALE FRANCESCO CRISPI VICINO AL 1-"</f>
        <v>PIAZZALE FRANCESCO CRISPI VICINO AL 1-</v>
      </c>
      <c r="C142" t="str">
        <f>"QUA"</f>
        <v>QUA</v>
      </c>
      <c r="D142">
        <v>6</v>
      </c>
      <c r="E142" t="str">
        <f>"B"</f>
        <v>B</v>
      </c>
      <c r="F142" t="str">
        <f t="shared" si="13"/>
        <v>0000</v>
      </c>
    </row>
    <row r="143" spans="1:6">
      <c r="A143" t="str">
        <f>"T76-1"</f>
        <v>T76-1</v>
      </c>
      <c r="B143" t="str">
        <f>"PIAZZALE FRANCESCO CRISPI VICINO AL 1-"</f>
        <v>PIAZZALE FRANCESCO CRISPI VICINO AL 1-</v>
      </c>
      <c r="C143" t="str">
        <f>"7"</f>
        <v>7</v>
      </c>
      <c r="D143">
        <v>6</v>
      </c>
      <c r="E143" t="str">
        <f>"B"</f>
        <v>B</v>
      </c>
      <c r="F143" t="str">
        <f t="shared" si="13"/>
        <v>0000</v>
      </c>
    </row>
    <row r="144" spans="1:6">
      <c r="A144" t="str">
        <f>"T78-1"</f>
        <v>T78-1</v>
      </c>
      <c r="B144" t="str">
        <f>"VIA BOTTINI  43-"</f>
        <v>VIA BOTTINI  43-</v>
      </c>
      <c r="C144" t="str">
        <f t="shared" ref="C144:C153" si="14">"1"</f>
        <v>1</v>
      </c>
      <c r="D144">
        <v>79</v>
      </c>
      <c r="E144" t="str">
        <f>"182"</f>
        <v>182</v>
      </c>
      <c r="F144" t="str">
        <f t="shared" si="13"/>
        <v>0000</v>
      </c>
    </row>
    <row r="145" spans="1:6">
      <c r="A145" t="str">
        <f>"T78-2"</f>
        <v>T78-2</v>
      </c>
      <c r="B145" t="str">
        <f>"VIA BOTTINI  43-"</f>
        <v>VIA BOTTINI  43-</v>
      </c>
      <c r="C145" t="str">
        <f t="shared" si="14"/>
        <v>1</v>
      </c>
      <c r="D145">
        <v>79</v>
      </c>
      <c r="E145" t="str">
        <f>"148"</f>
        <v>148</v>
      </c>
      <c r="F145" t="str">
        <f t="shared" si="13"/>
        <v>0000</v>
      </c>
    </row>
    <row r="146" spans="1:6">
      <c r="A146" t="str">
        <f>"T79-1"</f>
        <v>T79-1</v>
      </c>
      <c r="B146" t="str">
        <f>"VIA PONTETTI VICINO AL 4B-"</f>
        <v>VIA PONTETTI VICINO AL 4B-</v>
      </c>
      <c r="C146" t="str">
        <f t="shared" si="14"/>
        <v>1</v>
      </c>
      <c r="D146">
        <v>78</v>
      </c>
      <c r="E146" t="str">
        <f>"241"</f>
        <v>241</v>
      </c>
      <c r="F146" t="str">
        <f t="shared" si="13"/>
        <v>0000</v>
      </c>
    </row>
    <row r="147" spans="1:6">
      <c r="A147" t="str">
        <f>"T80-1"</f>
        <v>T80-1</v>
      </c>
      <c r="B147" t="str">
        <f>"DISCESA CADEVILLA VICINO AL 4-"</f>
        <v>DISCESA CADEVILLA VICINO AL 4-</v>
      </c>
      <c r="C147" t="str">
        <f t="shared" si="14"/>
        <v>1</v>
      </c>
      <c r="D147">
        <v>80</v>
      </c>
      <c r="E147" t="str">
        <f>"99999"</f>
        <v>99999</v>
      </c>
      <c r="F147" t="str">
        <f t="shared" si="13"/>
        <v>0000</v>
      </c>
    </row>
    <row r="148" spans="1:6">
      <c r="A148" t="str">
        <f>"T80-2"</f>
        <v>T80-2</v>
      </c>
      <c r="B148" t="str">
        <f>"DISCESA CADEVILLA VICINO AL 4-"</f>
        <v>DISCESA CADEVILLA VICINO AL 4-</v>
      </c>
      <c r="C148" t="str">
        <f t="shared" si="14"/>
        <v>1</v>
      </c>
      <c r="D148">
        <v>80</v>
      </c>
      <c r="E148" t="str">
        <f>"99999"</f>
        <v>99999</v>
      </c>
      <c r="F148" t="str">
        <f t="shared" si="13"/>
        <v>0000</v>
      </c>
    </row>
    <row r="149" spans="1:6">
      <c r="A149" t="str">
        <f>"T80-3"</f>
        <v>T80-3</v>
      </c>
      <c r="B149" t="str">
        <f>"DISCESA CADEVILLA VICINO AL 4-"</f>
        <v>DISCESA CADEVILLA VICINO AL 4-</v>
      </c>
      <c r="C149" t="str">
        <f t="shared" si="14"/>
        <v>1</v>
      </c>
      <c r="D149">
        <v>80</v>
      </c>
      <c r="E149" t="str">
        <f>"99999"</f>
        <v>99999</v>
      </c>
      <c r="F149" t="str">
        <f t="shared" si="13"/>
        <v>0000</v>
      </c>
    </row>
    <row r="150" spans="1:6">
      <c r="A150" t="str">
        <f>"T80-4"</f>
        <v>T80-4</v>
      </c>
      <c r="B150" t="str">
        <f>"DISCESA CADEVILLA VICINO AL 4-"</f>
        <v>DISCESA CADEVILLA VICINO AL 4-</v>
      </c>
      <c r="C150" t="str">
        <f t="shared" si="14"/>
        <v>1</v>
      </c>
      <c r="D150">
        <v>80</v>
      </c>
      <c r="E150" t="str">
        <f>"99999"</f>
        <v>99999</v>
      </c>
      <c r="F150" t="str">
        <f t="shared" si="13"/>
        <v>0000</v>
      </c>
    </row>
    <row r="151" spans="1:6">
      <c r="A151" t="str">
        <f>"T81-1"</f>
        <v>T81-1</v>
      </c>
      <c r="B151" t="str">
        <f>"VIA BOTTINI VICINO AL 27-"</f>
        <v>VIA BOTTINI VICINO AL 27-</v>
      </c>
      <c r="C151" t="str">
        <f t="shared" si="14"/>
        <v>1</v>
      </c>
      <c r="D151">
        <v>81</v>
      </c>
      <c r="E151" t="str">
        <f>"35"</f>
        <v>35</v>
      </c>
      <c r="F151" t="str">
        <f t="shared" si="13"/>
        <v>0000</v>
      </c>
    </row>
    <row r="152" spans="1:6">
      <c r="A152" t="str">
        <f>"T81-2"</f>
        <v>T81-2</v>
      </c>
      <c r="B152" t="str">
        <f>"VIA BOTTINI VICINO AL 27-"</f>
        <v>VIA BOTTINI VICINO AL 27-</v>
      </c>
      <c r="C152" t="str">
        <f t="shared" si="14"/>
        <v>1</v>
      </c>
      <c r="D152">
        <v>81</v>
      </c>
      <c r="E152" t="str">
        <f>"233"</f>
        <v>233</v>
      </c>
      <c r="F152" t="str">
        <f t="shared" si="13"/>
        <v>0000</v>
      </c>
    </row>
    <row r="153" spans="1:6">
      <c r="A153" t="str">
        <f>"T81-3"</f>
        <v>T81-3</v>
      </c>
      <c r="B153" t="str">
        <f>"VIA BOTTINI VICINO AL 27-"</f>
        <v>VIA BOTTINI VICINO AL 27-</v>
      </c>
      <c r="C153" t="str">
        <f t="shared" si="14"/>
        <v>1</v>
      </c>
      <c r="D153">
        <v>81</v>
      </c>
      <c r="E153" t="str">
        <f>"234"</f>
        <v>234</v>
      </c>
      <c r="F153" t="str">
        <f t="shared" si="13"/>
        <v>0000</v>
      </c>
    </row>
    <row r="154" spans="1:6">
      <c r="A154" t="str">
        <f>"T82-1"</f>
        <v>T82-1</v>
      </c>
      <c r="B154" t="str">
        <f>"VIA NICOLA FABRIZI VICINO AL 54-"</f>
        <v>VIA NICOLA FABRIZI VICINO AL 54-</v>
      </c>
      <c r="C154" t="str">
        <f>"7"</f>
        <v>7</v>
      </c>
      <c r="D154">
        <v>7</v>
      </c>
      <c r="E154" t="str">
        <f>"899"</f>
        <v>899</v>
      </c>
      <c r="F154" t="str">
        <f t="shared" si="13"/>
        <v>0000</v>
      </c>
    </row>
    <row r="155" spans="1:6">
      <c r="A155" t="str">
        <f>"T82-2"</f>
        <v>T82-2</v>
      </c>
      <c r="B155" t="str">
        <f>"VIA NICOLA FABRIZI VICINO AL 54-"</f>
        <v>VIA NICOLA FABRIZI VICINO AL 54-</v>
      </c>
      <c r="C155" t="str">
        <f>"7"</f>
        <v>7</v>
      </c>
      <c r="D155">
        <v>7</v>
      </c>
      <c r="E155" t="str">
        <f>"900"</f>
        <v>900</v>
      </c>
      <c r="F155" t="str">
        <f t="shared" si="13"/>
        <v>0000</v>
      </c>
    </row>
    <row r="156" spans="1:6">
      <c r="A156" t="str">
        <f>"T83-1"</f>
        <v>T83-1</v>
      </c>
      <c r="B156" t="str">
        <f>"VIA GIACINTO CARINI VICINO AL 12-"</f>
        <v>VIA GIACINTO CARINI VICINO AL 12-</v>
      </c>
      <c r="C156" t="str">
        <f>"7"</f>
        <v>7</v>
      </c>
      <c r="D156">
        <v>5</v>
      </c>
      <c r="E156" t="str">
        <f>"322"</f>
        <v>322</v>
      </c>
      <c r="F156" t="str">
        <f t="shared" si="13"/>
        <v>0000</v>
      </c>
    </row>
    <row r="157" spans="1:6">
      <c r="A157" t="str">
        <f>"T84-1"</f>
        <v>T84-1</v>
      </c>
      <c r="B157" t="str">
        <f>"VIA ROMANA DELLA CASTAGNA VICINO AL 25-"</f>
        <v>VIA ROMANA DELLA CASTAGNA VICINO AL 25-</v>
      </c>
      <c r="C157" t="str">
        <f>"7"</f>
        <v>7</v>
      </c>
      <c r="D157">
        <v>7</v>
      </c>
      <c r="E157" t="str">
        <f>"199"</f>
        <v>199</v>
      </c>
      <c r="F157" t="str">
        <f t="shared" si="13"/>
        <v>0000</v>
      </c>
    </row>
    <row r="158" spans="1:6">
      <c r="A158" t="str">
        <f>"T85-1"</f>
        <v>T85-1</v>
      </c>
      <c r="B158" t="str">
        <f>"VIA PONTEVECCHIO  1-"</f>
        <v>VIA PONTEVECCHIO  1-</v>
      </c>
      <c r="C158" t="str">
        <f>"1"</f>
        <v>1</v>
      </c>
      <c r="D158">
        <v>79</v>
      </c>
      <c r="E158" t="str">
        <f>"209"</f>
        <v>209</v>
      </c>
      <c r="F158" t="str">
        <f t="shared" si="13"/>
        <v>0000</v>
      </c>
    </row>
    <row r="159" spans="1:6">
      <c r="A159" t="str">
        <f>"T87-1"</f>
        <v>T87-1</v>
      </c>
      <c r="B159" t="str">
        <f t="shared" ref="B159:B164" si="15">"VIALE TEANO  21-"</f>
        <v>VIALE TEANO  21-</v>
      </c>
      <c r="C159" t="str">
        <f t="shared" ref="C159:C167" si="16">"7"</f>
        <v>7</v>
      </c>
      <c r="D159">
        <v>6</v>
      </c>
      <c r="E159" t="str">
        <f>"1250"</f>
        <v>1250</v>
      </c>
      <c r="F159" t="str">
        <f t="shared" si="13"/>
        <v>0000</v>
      </c>
    </row>
    <row r="160" spans="1:6">
      <c r="A160" t="str">
        <f>"T87-2"</f>
        <v>T87-2</v>
      </c>
      <c r="B160" t="str">
        <f t="shared" si="15"/>
        <v>VIALE TEANO  21-</v>
      </c>
      <c r="C160" t="str">
        <f t="shared" si="16"/>
        <v>7</v>
      </c>
      <c r="D160">
        <v>6</v>
      </c>
      <c r="E160" t="str">
        <f>"654"</f>
        <v>654</v>
      </c>
      <c r="F160" t="str">
        <f t="shared" si="13"/>
        <v>0000</v>
      </c>
    </row>
    <row r="161" spans="1:6">
      <c r="A161" t="str">
        <f>"T87-3"</f>
        <v>T87-3</v>
      </c>
      <c r="B161" t="str">
        <f t="shared" si="15"/>
        <v>VIALE TEANO  21-</v>
      </c>
      <c r="C161" t="str">
        <f t="shared" si="16"/>
        <v>7</v>
      </c>
      <c r="D161">
        <v>6</v>
      </c>
      <c r="E161" t="str">
        <f>"825"</f>
        <v>825</v>
      </c>
      <c r="F161" t="str">
        <f t="shared" si="13"/>
        <v>0000</v>
      </c>
    </row>
    <row r="162" spans="1:6">
      <c r="A162" t="str">
        <f>"T87-4"</f>
        <v>T87-4</v>
      </c>
      <c r="B162" t="str">
        <f t="shared" si="15"/>
        <v>VIALE TEANO  21-</v>
      </c>
      <c r="C162" t="str">
        <f t="shared" si="16"/>
        <v>7</v>
      </c>
      <c r="D162">
        <v>6</v>
      </c>
      <c r="E162" t="str">
        <f>"842"</f>
        <v>842</v>
      </c>
      <c r="F162" t="str">
        <f t="shared" si="13"/>
        <v>0000</v>
      </c>
    </row>
    <row r="163" spans="1:6">
      <c r="A163" t="str">
        <f>"T87-5"</f>
        <v>T87-5</v>
      </c>
      <c r="B163" t="str">
        <f t="shared" si="15"/>
        <v>VIALE TEANO  21-</v>
      </c>
      <c r="C163" t="str">
        <f t="shared" si="16"/>
        <v>7</v>
      </c>
      <c r="D163">
        <v>6</v>
      </c>
      <c r="E163" t="str">
        <f>"313"</f>
        <v>313</v>
      </c>
      <c r="F163" t="str">
        <f t="shared" si="13"/>
        <v>0000</v>
      </c>
    </row>
    <row r="164" spans="1:6">
      <c r="A164" t="str">
        <f>"T87-6"</f>
        <v>T87-6</v>
      </c>
      <c r="B164" t="str">
        <f t="shared" si="15"/>
        <v>VIALE TEANO  21-</v>
      </c>
      <c r="C164" t="str">
        <f t="shared" si="16"/>
        <v>7</v>
      </c>
      <c r="D164">
        <v>6</v>
      </c>
      <c r="E164" t="str">
        <f>"99999"</f>
        <v>99999</v>
      </c>
      <c r="F164" t="str">
        <f t="shared" si="13"/>
        <v>0000</v>
      </c>
    </row>
    <row r="165" spans="1:6">
      <c r="A165" t="str">
        <f>"T88-1"</f>
        <v>T88-1</v>
      </c>
      <c r="B165" t="str">
        <f>"VIA ANGELO CARRARA VICINO AL 260-"</f>
        <v>VIA ANGELO CARRARA VICINO AL 260-</v>
      </c>
      <c r="C165" t="str">
        <f t="shared" si="16"/>
        <v>7</v>
      </c>
      <c r="D165">
        <v>6</v>
      </c>
      <c r="E165" t="str">
        <f>"618"</f>
        <v>618</v>
      </c>
      <c r="F165" t="str">
        <f t="shared" si="13"/>
        <v>0000</v>
      </c>
    </row>
    <row r="166" spans="1:6">
      <c r="A166" t="str">
        <f>"T89-1"</f>
        <v>T89-1</v>
      </c>
      <c r="B166" t="str">
        <f>"CORSO EUROPA VICINO AL 924-"</f>
        <v>CORSO EUROPA VICINO AL 924-</v>
      </c>
      <c r="C166" t="str">
        <f t="shared" si="16"/>
        <v>7</v>
      </c>
      <c r="D166">
        <v>6</v>
      </c>
      <c r="E166" t="str">
        <f>"99999"</f>
        <v>99999</v>
      </c>
      <c r="F166" t="str">
        <f t="shared" si="13"/>
        <v>0000</v>
      </c>
    </row>
    <row r="167" spans="1:6">
      <c r="A167" t="str">
        <f>"T89-2"</f>
        <v>T89-2</v>
      </c>
      <c r="B167" t="str">
        <f>"CORSO EUROPA VICINO AL 924-"</f>
        <v>CORSO EUROPA VICINO AL 924-</v>
      </c>
      <c r="C167" t="str">
        <f t="shared" si="16"/>
        <v>7</v>
      </c>
      <c r="D167">
        <v>6</v>
      </c>
      <c r="E167" t="str">
        <f>"99999"</f>
        <v>99999</v>
      </c>
      <c r="F167" t="str">
        <f t="shared" si="13"/>
        <v>0000</v>
      </c>
    </row>
    <row r="168" spans="1:6">
      <c r="A168" t="str">
        <f>"T90-1"</f>
        <v>T90-1</v>
      </c>
      <c r="B168" t="str">
        <f>"VIA CALCAPERE VICINO AL 1-"</f>
        <v>VIA CALCAPERE VICINO AL 1-</v>
      </c>
      <c r="C168" t="str">
        <f>"QUA"</f>
        <v>QUA</v>
      </c>
      <c r="D168">
        <v>6</v>
      </c>
      <c r="E168" t="str">
        <f>"71"</f>
        <v>71</v>
      </c>
      <c r="F168" t="str">
        <f t="shared" si="13"/>
        <v>0000</v>
      </c>
    </row>
    <row r="169" spans="1:6">
      <c r="A169" t="str">
        <f>"T90-1"</f>
        <v>T90-1</v>
      </c>
      <c r="B169" t="str">
        <f>"VIA CALCAPERE VICINO AL 1-"</f>
        <v>VIA CALCAPERE VICINO AL 1-</v>
      </c>
      <c r="C169" t="str">
        <f>"7"</f>
        <v>7</v>
      </c>
      <c r="D169">
        <v>6</v>
      </c>
      <c r="E169" t="str">
        <f>"71"</f>
        <v>71</v>
      </c>
      <c r="F169" t="str">
        <f t="shared" si="13"/>
        <v>0000</v>
      </c>
    </row>
    <row r="170" spans="1:6">
      <c r="A170" t="str">
        <f>"T91-1"</f>
        <v>T91-1</v>
      </c>
      <c r="B170" t="str">
        <f>"VIA FRANCESCO NULLO VICINO AL 4B-"</f>
        <v>VIA FRANCESCO NULLO VICINO AL 4B-</v>
      </c>
      <c r="C170" t="str">
        <f>"7"</f>
        <v>7</v>
      </c>
      <c r="D170">
        <v>6</v>
      </c>
      <c r="E170" t="str">
        <f>"99999"</f>
        <v>99999</v>
      </c>
      <c r="F170" t="str">
        <f t="shared" si="13"/>
        <v>0000</v>
      </c>
    </row>
    <row r="171" spans="1:6">
      <c r="A171" t="str">
        <f>"T93-1"</f>
        <v>T93-1</v>
      </c>
      <c r="B171" t="str">
        <f>"VIA VITTORINO ERA VICINO AL 1B-"</f>
        <v>VIA VITTORINO ERA VICINO AL 1B-</v>
      </c>
      <c r="C171" t="str">
        <f>"1"</f>
        <v>1</v>
      </c>
      <c r="D171">
        <v>81</v>
      </c>
      <c r="E171" t="str">
        <f>"761"</f>
        <v>761</v>
      </c>
      <c r="F171" t="str">
        <f t="shared" si="13"/>
        <v>0000</v>
      </c>
    </row>
    <row r="172" spans="1:6">
      <c r="A172" t="str">
        <f>"T94-1"</f>
        <v>T94-1</v>
      </c>
      <c r="B172" t="str">
        <f>"VIALE TEANO VICINO AL 2-"</f>
        <v>VIALE TEANO VICINO AL 2-</v>
      </c>
      <c r="C172" t="str">
        <f>"7"</f>
        <v>7</v>
      </c>
      <c r="D172">
        <v>6</v>
      </c>
      <c r="E172" t="str">
        <f>"309"</f>
        <v>309</v>
      </c>
      <c r="F172" t="str">
        <f t="shared" si="13"/>
        <v>0000</v>
      </c>
    </row>
    <row r="173" spans="1:6">
      <c r="A173" t="str">
        <f>"T119-1"</f>
        <v>T119-1</v>
      </c>
      <c r="B173" t="str">
        <f>"VIA BORGORATTI VICINO AL 79-"</f>
        <v>VIA BORGORATTI VICINO AL 79-</v>
      </c>
      <c r="C173" t="str">
        <f t="shared" ref="C173:C183" si="17">"1"</f>
        <v>1</v>
      </c>
      <c r="D173">
        <v>57</v>
      </c>
      <c r="E173" t="str">
        <f>"99999"</f>
        <v>99999</v>
      </c>
      <c r="F173" t="str">
        <f t="shared" si="13"/>
        <v>0000</v>
      </c>
    </row>
    <row r="174" spans="1:6">
      <c r="A174" t="str">
        <f>"T124-1"</f>
        <v>T124-1</v>
      </c>
      <c r="B174" t="str">
        <f t="shared" ref="B174:B183" si="18">"VIA NICOLO COPERNICO VICINO AL 5-"</f>
        <v>VIA NICOLO COPERNICO VICINO AL 5-</v>
      </c>
      <c r="C174" t="str">
        <f t="shared" si="17"/>
        <v>1</v>
      </c>
      <c r="D174">
        <v>57</v>
      </c>
      <c r="E174" t="str">
        <f>"1314"</f>
        <v>1314</v>
      </c>
      <c r="F174" t="str">
        <f t="shared" si="13"/>
        <v>0000</v>
      </c>
    </row>
    <row r="175" spans="1:6">
      <c r="A175" t="str">
        <f>"T124-2"</f>
        <v>T124-2</v>
      </c>
      <c r="B175" t="str">
        <f t="shared" si="18"/>
        <v>VIA NICOLO COPERNICO VICINO AL 5-</v>
      </c>
      <c r="C175" t="str">
        <f t="shared" si="17"/>
        <v>1</v>
      </c>
      <c r="D175">
        <v>57</v>
      </c>
      <c r="E175" t="str">
        <f>"1365"</f>
        <v>1365</v>
      </c>
      <c r="F175" t="str">
        <f t="shared" si="13"/>
        <v>0000</v>
      </c>
    </row>
    <row r="176" spans="1:6">
      <c r="A176" t="str">
        <f>"T124-3"</f>
        <v>T124-3</v>
      </c>
      <c r="B176" t="str">
        <f t="shared" si="18"/>
        <v>VIA NICOLO COPERNICO VICINO AL 5-</v>
      </c>
      <c r="C176" t="str">
        <f t="shared" si="17"/>
        <v>1</v>
      </c>
      <c r="D176">
        <v>57</v>
      </c>
      <c r="E176" t="str">
        <f>"260"</f>
        <v>260</v>
      </c>
      <c r="F176" t="str">
        <f t="shared" si="13"/>
        <v>0000</v>
      </c>
    </row>
    <row r="177" spans="1:6">
      <c r="A177" t="str">
        <f>"T124-4"</f>
        <v>T124-4</v>
      </c>
      <c r="B177" t="str">
        <f t="shared" si="18"/>
        <v>VIA NICOLO COPERNICO VICINO AL 5-</v>
      </c>
      <c r="C177" t="str">
        <f t="shared" si="17"/>
        <v>1</v>
      </c>
      <c r="D177">
        <v>57</v>
      </c>
      <c r="E177" t="str">
        <f>"1365"</f>
        <v>1365</v>
      </c>
      <c r="F177" t="str">
        <f t="shared" si="13"/>
        <v>0000</v>
      </c>
    </row>
    <row r="178" spans="1:6">
      <c r="A178" t="str">
        <f>"T124-5"</f>
        <v>T124-5</v>
      </c>
      <c r="B178" t="str">
        <f t="shared" si="18"/>
        <v>VIA NICOLO COPERNICO VICINO AL 5-</v>
      </c>
      <c r="C178" t="str">
        <f t="shared" si="17"/>
        <v>1</v>
      </c>
      <c r="D178">
        <v>57</v>
      </c>
      <c r="E178" t="str">
        <f>"510"</f>
        <v>510</v>
      </c>
      <c r="F178" t="str">
        <f t="shared" si="13"/>
        <v>0000</v>
      </c>
    </row>
    <row r="179" spans="1:6">
      <c r="A179" t="str">
        <f>"T124-6"</f>
        <v>T124-6</v>
      </c>
      <c r="B179" t="str">
        <f t="shared" si="18"/>
        <v>VIA NICOLO COPERNICO VICINO AL 5-</v>
      </c>
      <c r="C179" t="str">
        <f t="shared" si="17"/>
        <v>1</v>
      </c>
      <c r="D179">
        <v>57</v>
      </c>
      <c r="E179" t="str">
        <f>"518"</f>
        <v>518</v>
      </c>
      <c r="F179" t="str">
        <f t="shared" si="13"/>
        <v>0000</v>
      </c>
    </row>
    <row r="180" spans="1:6">
      <c r="A180" t="str">
        <f>"T124-7"</f>
        <v>T124-7</v>
      </c>
      <c r="B180" t="str">
        <f t="shared" si="18"/>
        <v>VIA NICOLO COPERNICO VICINO AL 5-</v>
      </c>
      <c r="C180" t="str">
        <f t="shared" si="17"/>
        <v>1</v>
      </c>
      <c r="D180">
        <v>57</v>
      </c>
      <c r="E180" t="str">
        <f>"264"</f>
        <v>264</v>
      </c>
      <c r="F180" t="str">
        <f t="shared" si="13"/>
        <v>0000</v>
      </c>
    </row>
    <row r="181" spans="1:6">
      <c r="A181" t="str">
        <f>"T124-8"</f>
        <v>T124-8</v>
      </c>
      <c r="B181" t="str">
        <f t="shared" si="18"/>
        <v>VIA NICOLO COPERNICO VICINO AL 5-</v>
      </c>
      <c r="C181" t="str">
        <f t="shared" si="17"/>
        <v>1</v>
      </c>
      <c r="D181">
        <v>57</v>
      </c>
      <c r="E181" t="str">
        <f>"513"</f>
        <v>513</v>
      </c>
      <c r="F181" t="str">
        <f t="shared" si="13"/>
        <v>0000</v>
      </c>
    </row>
    <row r="182" spans="1:6">
      <c r="A182" t="str">
        <f>"T124-9"</f>
        <v>T124-9</v>
      </c>
      <c r="B182" t="str">
        <f t="shared" si="18"/>
        <v>VIA NICOLO COPERNICO VICINO AL 5-</v>
      </c>
      <c r="C182" t="str">
        <f t="shared" si="17"/>
        <v>1</v>
      </c>
      <c r="D182">
        <v>57</v>
      </c>
      <c r="E182" t="str">
        <f>"508"</f>
        <v>508</v>
      </c>
      <c r="F182" t="str">
        <f t="shared" si="13"/>
        <v>0000</v>
      </c>
    </row>
    <row r="183" spans="1:6">
      <c r="A183" t="str">
        <f>"T124-10"</f>
        <v>T124-10</v>
      </c>
      <c r="B183" t="str">
        <f t="shared" si="18"/>
        <v>VIA NICOLO COPERNICO VICINO AL 5-</v>
      </c>
      <c r="C183" t="str">
        <f t="shared" si="17"/>
        <v>1</v>
      </c>
      <c r="D183">
        <v>57</v>
      </c>
      <c r="E183" t="str">
        <f>"263"</f>
        <v>263</v>
      </c>
      <c r="F183" t="str">
        <f t="shared" si="13"/>
        <v>0000</v>
      </c>
    </row>
    <row r="184" spans="1:6">
      <c r="A184" t="str">
        <f>"T126-1"</f>
        <v>T126-1</v>
      </c>
      <c r="B184" t="str">
        <f>"VIA DEI MARSANO VICINO AL 3-"</f>
        <v>VIA DEI MARSANO VICINO AL 3-</v>
      </c>
      <c r="C184" t="str">
        <f>"10"</f>
        <v>10</v>
      </c>
      <c r="D184">
        <v>6</v>
      </c>
      <c r="E184" t="str">
        <f>"A"</f>
        <v>A</v>
      </c>
      <c r="F184" t="str">
        <f t="shared" si="13"/>
        <v>0000</v>
      </c>
    </row>
    <row r="185" spans="1:6">
      <c r="A185" t="str">
        <f>"T127-1"</f>
        <v>T127-1</v>
      </c>
      <c r="B185" t="str">
        <f>"VIA DONATO SOMMA VICINO AL 18-"</f>
        <v>VIA DONATO SOMMA VICINO AL 18-</v>
      </c>
      <c r="C185" t="str">
        <f>"9"</f>
        <v>9</v>
      </c>
      <c r="D185">
        <v>9</v>
      </c>
      <c r="E185" t="str">
        <f>"A"</f>
        <v>A</v>
      </c>
      <c r="F185" t="str">
        <f t="shared" si="13"/>
        <v>0000</v>
      </c>
    </row>
    <row r="186" spans="1:6">
      <c r="A186" t="str">
        <f>"T128-1"</f>
        <v>T128-1</v>
      </c>
      <c r="B186" t="str">
        <f>"VIA DEL COMMERCIO VICINO AL 37R-"</f>
        <v>VIA DEL COMMERCIO VICINO AL 37R-</v>
      </c>
      <c r="C186" t="str">
        <f>"9"</f>
        <v>9</v>
      </c>
      <c r="D186">
        <v>5</v>
      </c>
      <c r="E186" t="str">
        <f>"A"</f>
        <v>A</v>
      </c>
      <c r="F186" t="str">
        <f t="shared" si="13"/>
        <v>0000</v>
      </c>
    </row>
    <row r="187" spans="1:6">
      <c r="A187" t="str">
        <f>"T129-1"</f>
        <v>T129-1</v>
      </c>
      <c r="B187" t="str">
        <f>"VIA MOLINETTI DI NERVI VICINO AL 4C-"</f>
        <v>VIA MOLINETTI DI NERVI VICINO AL 4C-</v>
      </c>
      <c r="C187" t="str">
        <f>"9"</f>
        <v>9</v>
      </c>
      <c r="D187">
        <v>6</v>
      </c>
      <c r="E187" t="str">
        <f>"A"</f>
        <v>A</v>
      </c>
      <c r="F187" t="str">
        <f t="shared" si="13"/>
        <v>0000</v>
      </c>
    </row>
    <row r="188" spans="1:6">
      <c r="A188" t="str">
        <f>"T130-1"</f>
        <v>T130-1</v>
      </c>
      <c r="B188" t="str">
        <f>"VIA VALERIO BOCCIARDO VICINO AL 2-"</f>
        <v>VIA VALERIO BOCCIARDO VICINO AL 2-</v>
      </c>
      <c r="C188" t="str">
        <f>"6"</f>
        <v>6</v>
      </c>
      <c r="D188">
        <v>15</v>
      </c>
      <c r="E188" t="str">
        <f>"14"</f>
        <v>14</v>
      </c>
      <c r="F188" t="str">
        <f t="shared" si="13"/>
        <v>0000</v>
      </c>
    </row>
    <row r="189" spans="1:6">
      <c r="A189" t="str">
        <f>"T130-2"</f>
        <v>T130-2</v>
      </c>
      <c r="B189" t="str">
        <f>"VIA VALERIO BOCCIARDO VICINO AL 2-"</f>
        <v>VIA VALERIO BOCCIARDO VICINO AL 2-</v>
      </c>
      <c r="C189" t="str">
        <f>"1"</f>
        <v>1</v>
      </c>
      <c r="D189">
        <v>59</v>
      </c>
      <c r="E189" t="str">
        <f>"289"</f>
        <v>289</v>
      </c>
      <c r="F189" t="str">
        <f t="shared" si="13"/>
        <v>0000</v>
      </c>
    </row>
    <row r="190" spans="1:6">
      <c r="A190" t="str">
        <f>"T134-1"</f>
        <v>T134-1</v>
      </c>
      <c r="B190" t="str">
        <f>"VIA DELLE TERRE ROSSE VICINO AL 42-"</f>
        <v>VIA DELLE TERRE ROSSE VICINO AL 42-</v>
      </c>
      <c r="C190" t="str">
        <f t="shared" ref="C190:C197" si="19">"6"</f>
        <v>6</v>
      </c>
      <c r="D190">
        <v>4</v>
      </c>
      <c r="E190" t="str">
        <f>"254"</f>
        <v>254</v>
      </c>
      <c r="F190" t="str">
        <f t="shared" si="13"/>
        <v>0000</v>
      </c>
    </row>
    <row r="191" spans="1:6">
      <c r="A191" t="str">
        <f>"T135-1"</f>
        <v>T135-1</v>
      </c>
      <c r="B191" t="str">
        <f>"PASSO DEL GNACCO VICINO AL 3-"</f>
        <v>PASSO DEL GNACCO VICINO AL 3-</v>
      </c>
      <c r="C191" t="str">
        <f t="shared" si="19"/>
        <v>6</v>
      </c>
      <c r="D191">
        <v>3</v>
      </c>
      <c r="E191" t="str">
        <f>"9"</f>
        <v>9</v>
      </c>
      <c r="F191" t="str">
        <f t="shared" si="13"/>
        <v>0000</v>
      </c>
    </row>
    <row r="192" spans="1:6">
      <c r="A192" t="str">
        <f>"T136-1"</f>
        <v>T136-1</v>
      </c>
      <c r="B192" t="str">
        <f>"PIAZZA DON ATTILIO CANEPA VICINO AL 1-"</f>
        <v>PIAZZA DON ATTILIO CANEPA VICINO AL 1-</v>
      </c>
      <c r="C192" t="str">
        <f t="shared" si="19"/>
        <v>6</v>
      </c>
      <c r="D192">
        <v>16</v>
      </c>
      <c r="E192" t="str">
        <f>"A"</f>
        <v>A</v>
      </c>
      <c r="F192" t="str">
        <f t="shared" si="13"/>
        <v>0000</v>
      </c>
    </row>
    <row r="193" spans="1:6">
      <c r="A193" t="str">
        <f>"T138-1"</f>
        <v>T138-1</v>
      </c>
      <c r="B193" t="str">
        <f>"VIA POMATA VICINO AL 8-"</f>
        <v>VIA POMATA VICINO AL 8-</v>
      </c>
      <c r="C193" t="str">
        <f t="shared" si="19"/>
        <v>6</v>
      </c>
      <c r="D193">
        <v>3</v>
      </c>
      <c r="E193" t="str">
        <f>"A"</f>
        <v>A</v>
      </c>
      <c r="F193" t="str">
        <f t="shared" si="13"/>
        <v>0000</v>
      </c>
    </row>
    <row r="194" spans="1:6">
      <c r="A194" t="str">
        <f>"T138-2"</f>
        <v>T138-2</v>
      </c>
      <c r="B194" t="str">
        <f>"VIA POMATA VICINO AL 8-"</f>
        <v>VIA POMATA VICINO AL 8-</v>
      </c>
      <c r="C194" t="str">
        <f t="shared" si="19"/>
        <v>6</v>
      </c>
      <c r="D194">
        <v>3</v>
      </c>
      <c r="E194" t="str">
        <f>"99999"</f>
        <v>99999</v>
      </c>
      <c r="F194" t="str">
        <f t="shared" ref="F194:F257" si="20">"0000"</f>
        <v>0000</v>
      </c>
    </row>
    <row r="195" spans="1:6">
      <c r="A195" t="str">
        <f>"T138-3"</f>
        <v>T138-3</v>
      </c>
      <c r="B195" t="str">
        <f>"VIA POMATA VICINO AL 8-"</f>
        <v>VIA POMATA VICINO AL 8-</v>
      </c>
      <c r="C195" t="str">
        <f t="shared" si="19"/>
        <v>6</v>
      </c>
      <c r="D195">
        <v>3</v>
      </c>
      <c r="E195" t="str">
        <f>"99999"</f>
        <v>99999</v>
      </c>
      <c r="F195" t="str">
        <f t="shared" si="20"/>
        <v>0000</v>
      </c>
    </row>
    <row r="196" spans="1:6">
      <c r="A196" t="str">
        <f>"T138-4"</f>
        <v>T138-4</v>
      </c>
      <c r="B196" t="str">
        <f>"VIA POMATA VICINO AL 8-"</f>
        <v>VIA POMATA VICINO AL 8-</v>
      </c>
      <c r="C196" t="str">
        <f t="shared" si="19"/>
        <v>6</v>
      </c>
      <c r="D196">
        <v>3</v>
      </c>
      <c r="E196" t="str">
        <f>"99999"</f>
        <v>99999</v>
      </c>
      <c r="F196" t="str">
        <f t="shared" si="20"/>
        <v>0000</v>
      </c>
    </row>
    <row r="197" spans="1:6">
      <c r="A197" t="str">
        <f>"T139-1"</f>
        <v>T139-1</v>
      </c>
      <c r="B197" t="str">
        <f>"VIA SUPERIORE PREMANICO VICINO AL 33-"</f>
        <v>VIA SUPERIORE PREMANICO VICINO AL 33-</v>
      </c>
      <c r="C197" t="str">
        <f t="shared" si="19"/>
        <v>6</v>
      </c>
      <c r="D197">
        <v>6</v>
      </c>
      <c r="E197" t="str">
        <f>"A"</f>
        <v>A</v>
      </c>
      <c r="F197" t="str">
        <f t="shared" si="20"/>
        <v>0000</v>
      </c>
    </row>
    <row r="198" spans="1:6">
      <c r="A198" t="str">
        <f>"T140-1"</f>
        <v>T140-1</v>
      </c>
      <c r="B198" t="str">
        <f>"VIA DEL BORGO VICINO AL 3-"</f>
        <v>VIA DEL BORGO VICINO AL 3-</v>
      </c>
      <c r="C198" t="str">
        <f>"1"</f>
        <v>1</v>
      </c>
      <c r="D198">
        <v>59</v>
      </c>
      <c r="E198" t="str">
        <f>"99999"</f>
        <v>99999</v>
      </c>
      <c r="F198" t="str">
        <f t="shared" si="20"/>
        <v>0000</v>
      </c>
    </row>
    <row r="199" spans="1:6">
      <c r="A199" t="str">
        <f>"T141-1"</f>
        <v>T141-1</v>
      </c>
      <c r="B199" t="str">
        <f>"VIA NICOLO COPERNICO VICINO AL 11-"</f>
        <v>VIA NICOLO COPERNICO VICINO AL 11-</v>
      </c>
      <c r="C199" t="str">
        <f>"1"</f>
        <v>1</v>
      </c>
      <c r="D199">
        <v>57</v>
      </c>
      <c r="E199" t="str">
        <f>"303"</f>
        <v>303</v>
      </c>
      <c r="F199" t="str">
        <f t="shared" si="20"/>
        <v>0000</v>
      </c>
    </row>
    <row r="200" spans="1:6">
      <c r="A200" t="str">
        <f>"T142-1"</f>
        <v>T142-1</v>
      </c>
      <c r="B200" t="str">
        <f>"VIA CANNETO SAN DESIDERIO VICINO AL 32-"</f>
        <v>VIA CANNETO SAN DESIDERIO VICINO AL 32-</v>
      </c>
      <c r="C200" t="str">
        <f>"6"</f>
        <v>6</v>
      </c>
      <c r="D200">
        <v>4</v>
      </c>
      <c r="E200" t="str">
        <f>"169"</f>
        <v>169</v>
      </c>
      <c r="F200" t="str">
        <f t="shared" si="20"/>
        <v>0000</v>
      </c>
    </row>
    <row r="201" spans="1:6">
      <c r="A201" t="str">
        <f>"T142-2"</f>
        <v>T142-2</v>
      </c>
      <c r="B201" t="str">
        <f>"VIA CANNETO SAN DESIDERIO VICINO AL 32-"</f>
        <v>VIA CANNETO SAN DESIDERIO VICINO AL 32-</v>
      </c>
      <c r="C201" t="str">
        <f>"6"</f>
        <v>6</v>
      </c>
      <c r="D201">
        <v>4</v>
      </c>
      <c r="E201" t="str">
        <f>"170"</f>
        <v>170</v>
      </c>
      <c r="F201" t="str">
        <f t="shared" si="20"/>
        <v>0000</v>
      </c>
    </row>
    <row r="202" spans="1:6">
      <c r="A202" t="str">
        <f>"T142-3"</f>
        <v>T142-3</v>
      </c>
      <c r="B202" t="str">
        <f>"VIA CANNETO SAN DESIDERIO VICINO AL 32-"</f>
        <v>VIA CANNETO SAN DESIDERIO VICINO AL 32-</v>
      </c>
      <c r="C202" t="str">
        <f>"6"</f>
        <v>6</v>
      </c>
      <c r="D202">
        <v>4</v>
      </c>
      <c r="E202" t="str">
        <f>"168"</f>
        <v>168</v>
      </c>
      <c r="F202" t="str">
        <f t="shared" si="20"/>
        <v>0000</v>
      </c>
    </row>
    <row r="203" spans="1:6">
      <c r="A203" t="str">
        <f>"T155-1"</f>
        <v>T155-1</v>
      </c>
      <c r="B203" t="str">
        <f>"VIA STEFANO PRASCA VICINO AL 62-"</f>
        <v>VIA STEFANO PRASCA VICINO AL 62-</v>
      </c>
      <c r="C203" t="str">
        <f>"7"</f>
        <v>7</v>
      </c>
      <c r="D203">
        <v>7</v>
      </c>
      <c r="E203" t="str">
        <f>"60"</f>
        <v>60</v>
      </c>
      <c r="F203" t="str">
        <f t="shared" si="20"/>
        <v>0000</v>
      </c>
    </row>
    <row r="204" spans="1:6">
      <c r="A204" t="str">
        <f>"T155-2"</f>
        <v>T155-2</v>
      </c>
      <c r="B204" t="str">
        <f>"VIA STEFANO PRASCA VICINO AL 62-"</f>
        <v>VIA STEFANO PRASCA VICINO AL 62-</v>
      </c>
      <c r="C204" t="str">
        <f>"7"</f>
        <v>7</v>
      </c>
      <c r="D204">
        <v>7</v>
      </c>
      <c r="E204" t="str">
        <f>"60"</f>
        <v>60</v>
      </c>
      <c r="F204" t="str">
        <f t="shared" si="20"/>
        <v>0000</v>
      </c>
    </row>
    <row r="205" spans="1:6">
      <c r="A205" t="str">
        <f>"T156-1"</f>
        <v>T156-1</v>
      </c>
      <c r="B205" t="str">
        <f>"VIA BOTTINI VICINO AL 27-"</f>
        <v>VIA BOTTINI VICINO AL 27-</v>
      </c>
      <c r="C205" t="str">
        <f>"1"</f>
        <v>1</v>
      </c>
      <c r="D205">
        <v>81</v>
      </c>
      <c r="E205" t="str">
        <f>"218"</f>
        <v>218</v>
      </c>
      <c r="F205" t="str">
        <f t="shared" si="20"/>
        <v>0000</v>
      </c>
    </row>
    <row r="206" spans="1:6">
      <c r="A206" t="str">
        <f>"T159-1"</f>
        <v>T159-1</v>
      </c>
      <c r="B206" t="str">
        <f>"VIA STEFANO PRASCA VICINO AL 62-"</f>
        <v>VIA STEFANO PRASCA VICINO AL 62-</v>
      </c>
      <c r="C206" t="str">
        <f>"7"</f>
        <v>7</v>
      </c>
      <c r="D206">
        <v>7</v>
      </c>
      <c r="E206" t="str">
        <f>"99999"</f>
        <v>99999</v>
      </c>
      <c r="F206" t="str">
        <f t="shared" si="20"/>
        <v>0000</v>
      </c>
    </row>
    <row r="207" spans="1:6">
      <c r="A207" t="str">
        <f>"T177-1"</f>
        <v>T177-1</v>
      </c>
      <c r="B207" t="str">
        <f>"VIA PIANI DI FERRETTO  9-"</f>
        <v>VIA PIANI DI FERRETTO  9-</v>
      </c>
      <c r="C207" t="str">
        <f t="shared" ref="C207:C213" si="21">"5"</f>
        <v>5</v>
      </c>
      <c r="D207">
        <v>51</v>
      </c>
      <c r="E207" t="str">
        <f>"99"</f>
        <v>99</v>
      </c>
      <c r="F207" t="str">
        <f t="shared" si="20"/>
        <v>0000</v>
      </c>
    </row>
    <row r="208" spans="1:6">
      <c r="A208" t="str">
        <f>"T177-2"</f>
        <v>T177-2</v>
      </c>
      <c r="B208" t="str">
        <f>"VIA PIANI DI FERRETTO  9-"</f>
        <v>VIA PIANI DI FERRETTO  9-</v>
      </c>
      <c r="C208" t="str">
        <f t="shared" si="21"/>
        <v>5</v>
      </c>
      <c r="D208">
        <v>51</v>
      </c>
      <c r="E208" t="str">
        <f>"100"</f>
        <v>100</v>
      </c>
      <c r="F208" t="str">
        <f t="shared" si="20"/>
        <v>0000</v>
      </c>
    </row>
    <row r="209" spans="1:6">
      <c r="A209" t="str">
        <f>"T178-1"</f>
        <v>T178-1</v>
      </c>
      <c r="B209" t="str">
        <f>"VIA FONTANEGLI VICINO AL 39-"</f>
        <v>VIA FONTANEGLI VICINO AL 39-</v>
      </c>
      <c r="C209" t="str">
        <f t="shared" si="21"/>
        <v>5</v>
      </c>
      <c r="D209">
        <v>49</v>
      </c>
      <c r="E209" t="str">
        <f>"314"</f>
        <v>314</v>
      </c>
      <c r="F209" t="str">
        <f t="shared" si="20"/>
        <v>0000</v>
      </c>
    </row>
    <row r="210" spans="1:6">
      <c r="A210" t="str">
        <f>"T178-2"</f>
        <v>T178-2</v>
      </c>
      <c r="B210" t="str">
        <f>"VIA FONTANEGLI VICINO AL 39-"</f>
        <v>VIA FONTANEGLI VICINO AL 39-</v>
      </c>
      <c r="C210" t="str">
        <f t="shared" si="21"/>
        <v>5</v>
      </c>
      <c r="D210">
        <v>49</v>
      </c>
      <c r="E210" t="str">
        <f>"510"</f>
        <v>510</v>
      </c>
      <c r="F210" t="str">
        <f t="shared" si="20"/>
        <v>0000</v>
      </c>
    </row>
    <row r="211" spans="1:6">
      <c r="A211" t="str">
        <f>"T178-3"</f>
        <v>T178-3</v>
      </c>
      <c r="B211" t="str">
        <f>"VIA FONTANEGLI VICINO AL 39-"</f>
        <v>VIA FONTANEGLI VICINO AL 39-</v>
      </c>
      <c r="C211" t="str">
        <f t="shared" si="21"/>
        <v>5</v>
      </c>
      <c r="D211">
        <v>49</v>
      </c>
      <c r="E211" t="str">
        <f>"315"</f>
        <v>315</v>
      </c>
      <c r="F211" t="str">
        <f t="shared" si="20"/>
        <v>0000</v>
      </c>
    </row>
    <row r="212" spans="1:6">
      <c r="A212" t="str">
        <f>"T178-4"</f>
        <v>T178-4</v>
      </c>
      <c r="B212" t="str">
        <f>"VIA FONTANEGLI VICINO AL 39-"</f>
        <v>VIA FONTANEGLI VICINO AL 39-</v>
      </c>
      <c r="C212" t="str">
        <f t="shared" si="21"/>
        <v>5</v>
      </c>
      <c r="D212">
        <v>49</v>
      </c>
      <c r="E212" t="str">
        <f>"511"</f>
        <v>511</v>
      </c>
      <c r="F212" t="str">
        <f t="shared" si="20"/>
        <v>0000</v>
      </c>
    </row>
    <row r="213" spans="1:6">
      <c r="A213" t="str">
        <f>"T178-5"</f>
        <v>T178-5</v>
      </c>
      <c r="B213" t="str">
        <f>"VIA FONTANEGLI VICINO AL 39-"</f>
        <v>VIA FONTANEGLI VICINO AL 39-</v>
      </c>
      <c r="C213" t="str">
        <f t="shared" si="21"/>
        <v>5</v>
      </c>
      <c r="D213">
        <v>49</v>
      </c>
      <c r="E213" t="str">
        <f>"512"</f>
        <v>512</v>
      </c>
      <c r="F213" t="str">
        <f t="shared" si="20"/>
        <v>0000</v>
      </c>
    </row>
    <row r="214" spans="1:6">
      <c r="A214" t="str">
        <f>"T179-1"</f>
        <v>T179-1</v>
      </c>
      <c r="B214" t="str">
        <f>"VIA GIULIO TANINI VICINO AL 20-"</f>
        <v>VIA GIULIO TANINI VICINO AL 20-</v>
      </c>
      <c r="C214" t="str">
        <f>"1"</f>
        <v>1</v>
      </c>
      <c r="D214">
        <v>59</v>
      </c>
      <c r="E214" t="str">
        <f>"168"</f>
        <v>168</v>
      </c>
      <c r="F214" t="str">
        <f t="shared" si="20"/>
        <v>0000</v>
      </c>
    </row>
    <row r="215" spans="1:6">
      <c r="A215" t="str">
        <f>"T239-1"</f>
        <v>T239-1</v>
      </c>
      <c r="B215" t="str">
        <f>"VIA ALBERICO LANFRANCO VICINO AL 14-"</f>
        <v>VIA ALBERICO LANFRANCO VICINO AL 14-</v>
      </c>
      <c r="C215" t="str">
        <f>"6"</f>
        <v>6</v>
      </c>
      <c r="D215">
        <v>16</v>
      </c>
      <c r="E215" t="str">
        <f>"452"</f>
        <v>452</v>
      </c>
      <c r="F215" t="str">
        <f t="shared" si="20"/>
        <v>0000</v>
      </c>
    </row>
    <row r="216" spans="1:6">
      <c r="A216" t="str">
        <f>"T240-1"</f>
        <v>T240-1</v>
      </c>
      <c r="B216" t="str">
        <f>"PIAZZA DUCA DEGLI ABRUZZI VICINO AL 6-"</f>
        <v>PIAZZA DUCA DEGLI ABRUZZI VICINO AL 6-</v>
      </c>
      <c r="C216" t="str">
        <f>"9"</f>
        <v>9</v>
      </c>
      <c r="D216">
        <v>8</v>
      </c>
      <c r="E216" t="str">
        <f>"1185"</f>
        <v>1185</v>
      </c>
      <c r="F216" t="str">
        <f t="shared" si="20"/>
        <v>0000</v>
      </c>
    </row>
    <row r="217" spans="1:6">
      <c r="A217" t="str">
        <f>"T242-1"</f>
        <v>T242-1</v>
      </c>
      <c r="B217" t="str">
        <f>"VIA PRIARUGGIA VICINO AL 52-"</f>
        <v>VIA PRIARUGGIA VICINO AL 52-</v>
      </c>
      <c r="C217" t="str">
        <f>"7"</f>
        <v>7</v>
      </c>
      <c r="D217">
        <v>7</v>
      </c>
      <c r="E217" t="str">
        <f>"1410"</f>
        <v>1410</v>
      </c>
      <c r="F217" t="str">
        <f t="shared" si="20"/>
        <v>0000</v>
      </c>
    </row>
    <row r="218" spans="1:6">
      <c r="A218" t="str">
        <f>"T242-2"</f>
        <v>T242-2</v>
      </c>
      <c r="B218" t="str">
        <f>"VIA PRIARUGGIA VICINO AL 52-"</f>
        <v>VIA PRIARUGGIA VICINO AL 52-</v>
      </c>
      <c r="C218" t="str">
        <f>"7"</f>
        <v>7</v>
      </c>
      <c r="D218">
        <v>7</v>
      </c>
      <c r="E218" t="str">
        <f>"1411"</f>
        <v>1411</v>
      </c>
      <c r="F218" t="str">
        <f t="shared" si="20"/>
        <v>0000</v>
      </c>
    </row>
    <row r="219" spans="1:6">
      <c r="A219" t="str">
        <f>"T243-1"</f>
        <v>T243-1</v>
      </c>
      <c r="B219" t="str">
        <f>"VIA DEL BORGO VICINO AL 15-"</f>
        <v>VIA DEL BORGO VICINO AL 15-</v>
      </c>
      <c r="C219" t="str">
        <f>"1"</f>
        <v>1</v>
      </c>
      <c r="D219">
        <v>59</v>
      </c>
      <c r="E219" t="str">
        <f>"56"</f>
        <v>56</v>
      </c>
      <c r="F219" t="str">
        <f t="shared" si="20"/>
        <v>0000</v>
      </c>
    </row>
    <row r="220" spans="1:6">
      <c r="A220" t="str">
        <f>"T245-1"</f>
        <v>T245-1</v>
      </c>
      <c r="B220" t="str">
        <f>"VIA EVANGEL TORRICELLI VICINO AL 1-"</f>
        <v>VIA EVANGEL TORRICELLI VICINO AL 1-</v>
      </c>
      <c r="C220" t="str">
        <f>"1"</f>
        <v>1</v>
      </c>
      <c r="D220">
        <v>59</v>
      </c>
      <c r="E220" t="str">
        <f>"27"</f>
        <v>27</v>
      </c>
      <c r="F220" t="str">
        <f t="shared" si="20"/>
        <v>0000</v>
      </c>
    </row>
    <row r="221" spans="1:6">
      <c r="A221" t="str">
        <f>"T245-2"</f>
        <v>T245-2</v>
      </c>
      <c r="B221" t="str">
        <f>"VIA EVANGEL TORRICELLI VICINO AL 1-"</f>
        <v>VIA EVANGEL TORRICELLI VICINO AL 1-</v>
      </c>
      <c r="C221" t="str">
        <f>"1"</f>
        <v>1</v>
      </c>
      <c r="D221">
        <v>59</v>
      </c>
      <c r="E221" t="str">
        <f>"1114"</f>
        <v>1114</v>
      </c>
      <c r="F221" t="str">
        <f t="shared" si="20"/>
        <v>0000</v>
      </c>
    </row>
    <row r="222" spans="1:6">
      <c r="A222" t="str">
        <f>"T246-1"</f>
        <v>T246-1</v>
      </c>
      <c r="B222" t="str">
        <f>"VIA APPARIZIONE VICINO AL 16-"</f>
        <v>VIA APPARIZIONE VICINO AL 16-</v>
      </c>
      <c r="C222" t="str">
        <f>"1"</f>
        <v>1</v>
      </c>
      <c r="D222">
        <v>57</v>
      </c>
      <c r="E222" t="str">
        <f>"694"</f>
        <v>694</v>
      </c>
      <c r="F222" t="str">
        <f t="shared" si="20"/>
        <v>0000</v>
      </c>
    </row>
    <row r="223" spans="1:6">
      <c r="A223" t="str">
        <f>"T250-1"</f>
        <v>T250-1</v>
      </c>
      <c r="B223" t="str">
        <f>"VIA PIANI DI FERRETTO VICINO AL 9-"</f>
        <v>VIA PIANI DI FERRETTO VICINO AL 9-</v>
      </c>
      <c r="C223" t="str">
        <f>"5"</f>
        <v>5</v>
      </c>
      <c r="D223">
        <v>49</v>
      </c>
      <c r="E223" t="str">
        <f>"907"</f>
        <v>907</v>
      </c>
      <c r="F223" t="str">
        <f t="shared" si="20"/>
        <v>0000</v>
      </c>
    </row>
    <row r="224" spans="1:6">
      <c r="A224" t="str">
        <f>"T262-1"</f>
        <v>T262-1</v>
      </c>
      <c r="B224" t="str">
        <f>"VIA AMEDEO CASABONA  5-"</f>
        <v>VIA AMEDEO CASABONA  5-</v>
      </c>
      <c r="C224" t="str">
        <f>"6"</f>
        <v>6</v>
      </c>
      <c r="D224">
        <v>3</v>
      </c>
      <c r="E224" t="str">
        <f>"202"</f>
        <v>202</v>
      </c>
      <c r="F224" t="str">
        <f t="shared" si="20"/>
        <v>0000</v>
      </c>
    </row>
    <row r="225" spans="1:6">
      <c r="A225" t="str">
        <f>"T262-2"</f>
        <v>T262-2</v>
      </c>
      <c r="B225" t="str">
        <f>"VIA AMEDEO CASABONA  5-"</f>
        <v>VIA AMEDEO CASABONA  5-</v>
      </c>
      <c r="C225" t="str">
        <f>"6"</f>
        <v>6</v>
      </c>
      <c r="D225">
        <v>3</v>
      </c>
      <c r="E225" t="str">
        <f>"212"</f>
        <v>212</v>
      </c>
      <c r="F225" t="str">
        <f t="shared" si="20"/>
        <v>0000</v>
      </c>
    </row>
    <row r="226" spans="1:6">
      <c r="A226" t="str">
        <f>"T262-3"</f>
        <v>T262-3</v>
      </c>
      <c r="B226" t="str">
        <f>"VIA AMEDEO CASABONA  5-"</f>
        <v>VIA AMEDEO CASABONA  5-</v>
      </c>
      <c r="C226" t="str">
        <f>"6"</f>
        <v>6</v>
      </c>
      <c r="D226">
        <v>3</v>
      </c>
      <c r="E226" t="str">
        <f>"327"</f>
        <v>327</v>
      </c>
      <c r="F226" t="str">
        <f t="shared" si="20"/>
        <v>0000</v>
      </c>
    </row>
    <row r="227" spans="1:6">
      <c r="A227" t="str">
        <f>"T267-1"</f>
        <v>T267-1</v>
      </c>
      <c r="B227" t="str">
        <f t="shared" ref="B227:B236" si="22">"VIA NASCHE VICINO AL 60-"</f>
        <v>VIA NASCHE VICINO AL 60-</v>
      </c>
      <c r="C227" t="str">
        <f t="shared" ref="C227:C237" si="23">"1"</f>
        <v>1</v>
      </c>
      <c r="D227">
        <v>41</v>
      </c>
      <c r="E227" t="str">
        <f>"3"</f>
        <v>3</v>
      </c>
      <c r="F227" t="str">
        <f t="shared" si="20"/>
        <v>0000</v>
      </c>
    </row>
    <row r="228" spans="1:6">
      <c r="A228" t="str">
        <f>"T267-2"</f>
        <v>T267-2</v>
      </c>
      <c r="B228" t="str">
        <f t="shared" si="22"/>
        <v>VIA NASCHE VICINO AL 60-</v>
      </c>
      <c r="C228" t="str">
        <f t="shared" si="23"/>
        <v>1</v>
      </c>
      <c r="D228">
        <v>41</v>
      </c>
      <c r="E228" t="str">
        <f>"4"</f>
        <v>4</v>
      </c>
      <c r="F228" t="str">
        <f t="shared" si="20"/>
        <v>0000</v>
      </c>
    </row>
    <row r="229" spans="1:6">
      <c r="A229" t="str">
        <f>"T267-3"</f>
        <v>T267-3</v>
      </c>
      <c r="B229" t="str">
        <f t="shared" si="22"/>
        <v>VIA NASCHE VICINO AL 60-</v>
      </c>
      <c r="C229" t="str">
        <f t="shared" si="23"/>
        <v>1</v>
      </c>
      <c r="D229">
        <v>41</v>
      </c>
      <c r="E229" t="str">
        <f>"5"</f>
        <v>5</v>
      </c>
      <c r="F229" t="str">
        <f t="shared" si="20"/>
        <v>0000</v>
      </c>
    </row>
    <row r="230" spans="1:6">
      <c r="A230" t="str">
        <f>"T267-4"</f>
        <v>T267-4</v>
      </c>
      <c r="B230" t="str">
        <f t="shared" si="22"/>
        <v>VIA NASCHE VICINO AL 60-</v>
      </c>
      <c r="C230" t="str">
        <f t="shared" si="23"/>
        <v>1</v>
      </c>
      <c r="D230">
        <v>41</v>
      </c>
      <c r="E230" t="str">
        <f>"6"</f>
        <v>6</v>
      </c>
      <c r="F230" t="str">
        <f t="shared" si="20"/>
        <v>0000</v>
      </c>
    </row>
    <row r="231" spans="1:6">
      <c r="A231" t="str">
        <f>"T267-5"</f>
        <v>T267-5</v>
      </c>
      <c r="B231" t="str">
        <f t="shared" si="22"/>
        <v>VIA NASCHE VICINO AL 60-</v>
      </c>
      <c r="C231" t="str">
        <f t="shared" si="23"/>
        <v>1</v>
      </c>
      <c r="D231">
        <v>41</v>
      </c>
      <c r="E231" t="str">
        <f>"7"</f>
        <v>7</v>
      </c>
      <c r="F231" t="str">
        <f t="shared" si="20"/>
        <v>0000</v>
      </c>
    </row>
    <row r="232" spans="1:6">
      <c r="A232" t="str">
        <f>"T267-6"</f>
        <v>T267-6</v>
      </c>
      <c r="B232" t="str">
        <f t="shared" si="22"/>
        <v>VIA NASCHE VICINO AL 60-</v>
      </c>
      <c r="C232" t="str">
        <f t="shared" si="23"/>
        <v>1</v>
      </c>
      <c r="D232">
        <v>41</v>
      </c>
      <c r="E232" t="str">
        <f>"8"</f>
        <v>8</v>
      </c>
      <c r="F232" t="str">
        <f t="shared" si="20"/>
        <v>0000</v>
      </c>
    </row>
    <row r="233" spans="1:6">
      <c r="A233" t="str">
        <f>"T267-7"</f>
        <v>T267-7</v>
      </c>
      <c r="B233" t="str">
        <f t="shared" si="22"/>
        <v>VIA NASCHE VICINO AL 60-</v>
      </c>
      <c r="C233" t="str">
        <f t="shared" si="23"/>
        <v>1</v>
      </c>
      <c r="D233">
        <v>41</v>
      </c>
      <c r="E233" t="str">
        <f>"9"</f>
        <v>9</v>
      </c>
      <c r="F233" t="str">
        <f t="shared" si="20"/>
        <v>0000</v>
      </c>
    </row>
    <row r="234" spans="1:6">
      <c r="A234" t="str">
        <f>"T267-8"</f>
        <v>T267-8</v>
      </c>
      <c r="B234" t="str">
        <f t="shared" si="22"/>
        <v>VIA NASCHE VICINO AL 60-</v>
      </c>
      <c r="C234" t="str">
        <f t="shared" si="23"/>
        <v>1</v>
      </c>
      <c r="D234">
        <v>41</v>
      </c>
      <c r="E234" t="str">
        <f>"10"</f>
        <v>10</v>
      </c>
      <c r="F234" t="str">
        <f t="shared" si="20"/>
        <v>0000</v>
      </c>
    </row>
    <row r="235" spans="1:6">
      <c r="A235" t="str">
        <f>"T267-9"</f>
        <v>T267-9</v>
      </c>
      <c r="B235" t="str">
        <f t="shared" si="22"/>
        <v>VIA NASCHE VICINO AL 60-</v>
      </c>
      <c r="C235" t="str">
        <f t="shared" si="23"/>
        <v>1</v>
      </c>
      <c r="D235">
        <v>41</v>
      </c>
      <c r="E235" t="str">
        <f>"34"</f>
        <v>34</v>
      </c>
      <c r="F235" t="str">
        <f t="shared" si="20"/>
        <v>0000</v>
      </c>
    </row>
    <row r="236" spans="1:6">
      <c r="A236" t="str">
        <f>"T267-10"</f>
        <v>T267-10</v>
      </c>
      <c r="B236" t="str">
        <f t="shared" si="22"/>
        <v>VIA NASCHE VICINO AL 60-</v>
      </c>
      <c r="C236" t="str">
        <f t="shared" si="23"/>
        <v>1</v>
      </c>
      <c r="D236">
        <v>41</v>
      </c>
      <c r="E236" t="str">
        <f>"35"</f>
        <v>35</v>
      </c>
      <c r="F236" t="str">
        <f t="shared" si="20"/>
        <v>0000</v>
      </c>
    </row>
    <row r="237" spans="1:6">
      <c r="A237" t="str">
        <f>"T269-1"</f>
        <v>T269-1</v>
      </c>
      <c r="B237" t="str">
        <f>"VIA ZOAGLI VICINO AL 6-"</f>
        <v>VIA ZOAGLI VICINO AL 6-</v>
      </c>
      <c r="C237" t="str">
        <f t="shared" si="23"/>
        <v>1</v>
      </c>
      <c r="D237">
        <v>94</v>
      </c>
      <c r="E237" t="str">
        <f>"216"</f>
        <v>216</v>
      </c>
      <c r="F237" t="str">
        <f t="shared" si="20"/>
        <v>0000</v>
      </c>
    </row>
    <row r="238" spans="1:6">
      <c r="A238" t="str">
        <f>"T272-1"</f>
        <v>T272-1</v>
      </c>
      <c r="B238" t="str">
        <f>"VIA QUINTO VICINO AL 1-"</f>
        <v>VIA QUINTO VICINO AL 1-</v>
      </c>
      <c r="C238" t="str">
        <f>"7"</f>
        <v>7</v>
      </c>
      <c r="D238">
        <v>7</v>
      </c>
      <c r="E238" t="str">
        <f>"384"</f>
        <v>384</v>
      </c>
      <c r="F238" t="str">
        <f t="shared" si="20"/>
        <v>0000</v>
      </c>
    </row>
    <row r="239" spans="1:6">
      <c r="A239" t="str">
        <f>"T272-2"</f>
        <v>T272-2</v>
      </c>
      <c r="B239" t="str">
        <f>"VIA QUINTO VICINO AL 1-"</f>
        <v>VIA QUINTO VICINO AL 1-</v>
      </c>
      <c r="C239" t="str">
        <f>"8"</f>
        <v>8</v>
      </c>
      <c r="D239">
        <v>3</v>
      </c>
      <c r="E239" t="str">
        <f>"319"</f>
        <v>319</v>
      </c>
      <c r="F239" t="str">
        <f t="shared" si="20"/>
        <v>0000</v>
      </c>
    </row>
    <row r="240" spans="1:6">
      <c r="A240" t="str">
        <f>"T272-3"</f>
        <v>T272-3</v>
      </c>
      <c r="B240" t="str">
        <f>"VIA QUINTO VICINO AL 1-"</f>
        <v>VIA QUINTO VICINO AL 1-</v>
      </c>
      <c r="C240" t="str">
        <f>"8"</f>
        <v>8</v>
      </c>
      <c r="D240">
        <v>3</v>
      </c>
      <c r="E240" t="str">
        <f>"99999"</f>
        <v>99999</v>
      </c>
      <c r="F240" t="str">
        <f t="shared" si="20"/>
        <v>0000</v>
      </c>
    </row>
    <row r="241" spans="1:6">
      <c r="A241" t="str">
        <f>"T375-1"</f>
        <v>T375-1</v>
      </c>
      <c r="B241" t="str">
        <f>"VIA POGGIONE VICINO AL 6-"</f>
        <v>VIA POGGIONE VICINO AL 6-</v>
      </c>
      <c r="C241" t="str">
        <f>"5"</f>
        <v>5</v>
      </c>
      <c r="D241">
        <v>47</v>
      </c>
      <c r="E241" t="str">
        <f>"709"</f>
        <v>709</v>
      </c>
      <c r="F241" t="str">
        <f t="shared" si="20"/>
        <v>0000</v>
      </c>
    </row>
    <row r="242" spans="1:6">
      <c r="A242" t="str">
        <f>"T380-1"</f>
        <v>T380-1</v>
      </c>
      <c r="B242" t="str">
        <f>"VIA CADIGHIARA VICINO AL 14-"</f>
        <v>VIA CADIGHIARA VICINO AL 14-</v>
      </c>
      <c r="C242" t="str">
        <f>"1"</f>
        <v>1</v>
      </c>
      <c r="D242">
        <v>56</v>
      </c>
      <c r="E242" t="str">
        <f>"529"</f>
        <v>529</v>
      </c>
      <c r="F242" t="str">
        <f t="shared" si="20"/>
        <v>0000</v>
      </c>
    </row>
    <row r="243" spans="1:6">
      <c r="A243" t="str">
        <f>"T381-1"</f>
        <v>T381-1</v>
      </c>
      <c r="B243" t="str">
        <f>"VIA GIULIO TANINI VICINO AL 26A-"</f>
        <v>VIA GIULIO TANINI VICINO AL 26A-</v>
      </c>
      <c r="C243" t="str">
        <f>"1"</f>
        <v>1</v>
      </c>
      <c r="D243">
        <v>59</v>
      </c>
      <c r="E243" t="str">
        <f>"549"</f>
        <v>549</v>
      </c>
      <c r="F243" t="str">
        <f t="shared" si="20"/>
        <v>0000</v>
      </c>
    </row>
    <row r="244" spans="1:6">
      <c r="A244" t="str">
        <f>"T382-1"</f>
        <v>T382-1</v>
      </c>
      <c r="B244" t="str">
        <f>"VIA POSALUNGA VICINO AL 9A-"</f>
        <v>VIA POSALUNGA VICINO AL 9A-</v>
      </c>
      <c r="C244" t="str">
        <f>"1"</f>
        <v>1</v>
      </c>
      <c r="D244">
        <v>79</v>
      </c>
      <c r="E244" t="str">
        <f>"4"</f>
        <v>4</v>
      </c>
      <c r="F244" t="str">
        <f t="shared" si="20"/>
        <v>0000</v>
      </c>
    </row>
    <row r="245" spans="1:6">
      <c r="A245" t="str">
        <f>"T382-2"</f>
        <v>T382-2</v>
      </c>
      <c r="B245" t="str">
        <f>"VIA POSALUNGA VICINO AL 9A-"</f>
        <v>VIA POSALUNGA VICINO AL 9A-</v>
      </c>
      <c r="C245" t="str">
        <f>"1"</f>
        <v>1</v>
      </c>
      <c r="D245">
        <v>79</v>
      </c>
      <c r="E245" t="str">
        <f>"956"</f>
        <v>956</v>
      </c>
      <c r="F245" t="str">
        <f t="shared" si="20"/>
        <v>0000</v>
      </c>
    </row>
    <row r="246" spans="1:6">
      <c r="A246" t="str">
        <f>"T500-1"</f>
        <v>T500-1</v>
      </c>
      <c r="B246" t="str">
        <f>"VIA DEI GERANI  2-"</f>
        <v>VIA DEI GERANI  2-</v>
      </c>
      <c r="C246" t="str">
        <f>"6"</f>
        <v>6</v>
      </c>
      <c r="D246">
        <v>15</v>
      </c>
      <c r="E246" t="str">
        <f>"14"</f>
        <v>14</v>
      </c>
      <c r="F246" t="str">
        <f t="shared" si="20"/>
        <v>0000</v>
      </c>
    </row>
    <row r="247" spans="1:6">
      <c r="A247" t="str">
        <f>"T501-1"</f>
        <v>T501-1</v>
      </c>
      <c r="B247" t="str">
        <f>"VIA DEL COMMERCIO VICINO AL 116-"</f>
        <v>VIA DEL COMMERCIO VICINO AL 116-</v>
      </c>
      <c r="C247" t="str">
        <f>"9"</f>
        <v>9</v>
      </c>
      <c r="D247">
        <v>5</v>
      </c>
      <c r="E247" t="str">
        <f>"431"</f>
        <v>431</v>
      </c>
      <c r="F247" t="str">
        <f t="shared" si="20"/>
        <v>0000</v>
      </c>
    </row>
    <row r="248" spans="1:6">
      <c r="A248" t="str">
        <f>"T501-2"</f>
        <v>T501-2</v>
      </c>
      <c r="B248" t="str">
        <f>"VIA DEL COMMERCIO VICINO AL 116-"</f>
        <v>VIA DEL COMMERCIO VICINO AL 116-</v>
      </c>
      <c r="C248" t="str">
        <f>"NER"</f>
        <v>NER</v>
      </c>
      <c r="D248">
        <v>5</v>
      </c>
      <c r="E248" t="str">
        <f>"156"</f>
        <v>156</v>
      </c>
      <c r="F248" t="str">
        <f t="shared" si="20"/>
        <v>0000</v>
      </c>
    </row>
    <row r="249" spans="1:6">
      <c r="A249" t="str">
        <f>"T506-1"</f>
        <v>T506-1</v>
      </c>
      <c r="B249" t="str">
        <f>"VIA MONTE CORNO VICINO AL 50-"</f>
        <v>VIA MONTE CORNO VICINO AL 50-</v>
      </c>
      <c r="C249" t="str">
        <f>"8"</f>
        <v>8</v>
      </c>
      <c r="D249">
        <v>5</v>
      </c>
      <c r="E249" t="str">
        <f>"99999"</f>
        <v>99999</v>
      </c>
      <c r="F249" t="str">
        <f t="shared" si="20"/>
        <v>0000</v>
      </c>
    </row>
    <row r="250" spans="1:6">
      <c r="A250" t="str">
        <f>"T507-1"</f>
        <v>T507-1</v>
      </c>
      <c r="B250" t="str">
        <f>"VIA ANGELO CARRARA VICINO AL 260-"</f>
        <v>VIA ANGELO CARRARA VICINO AL 260-</v>
      </c>
      <c r="C250" t="str">
        <f>"7"</f>
        <v>7</v>
      </c>
      <c r="D250">
        <v>6</v>
      </c>
      <c r="E250" t="str">
        <f>"618"</f>
        <v>618</v>
      </c>
      <c r="F250" t="str">
        <f t="shared" si="20"/>
        <v>0000</v>
      </c>
    </row>
    <row r="251" spans="1:6">
      <c r="A251" t="str">
        <f>"T508-1"</f>
        <v>T508-1</v>
      </c>
      <c r="B251" t="str">
        <f>"VIA POSALUNGA VICINO AL 9A-"</f>
        <v>VIA POSALUNGA VICINO AL 9A-</v>
      </c>
      <c r="C251" t="str">
        <f t="shared" ref="C251:C257" si="24">"1"</f>
        <v>1</v>
      </c>
      <c r="D251">
        <v>79</v>
      </c>
      <c r="E251" t="str">
        <f>"4"</f>
        <v>4</v>
      </c>
      <c r="F251" t="str">
        <f t="shared" si="20"/>
        <v>0000</v>
      </c>
    </row>
    <row r="252" spans="1:6">
      <c r="A252" t="str">
        <f>"T508-2"</f>
        <v>T508-2</v>
      </c>
      <c r="B252" t="str">
        <f>"VIA POSALUNGA VICINO AL 9A-"</f>
        <v>VIA POSALUNGA VICINO AL 9A-</v>
      </c>
      <c r="C252" t="str">
        <f t="shared" si="24"/>
        <v>1</v>
      </c>
      <c r="D252">
        <v>79</v>
      </c>
      <c r="E252" t="str">
        <f>"301"</f>
        <v>301</v>
      </c>
      <c r="F252" t="str">
        <f t="shared" si="20"/>
        <v>0000</v>
      </c>
    </row>
    <row r="253" spans="1:6">
      <c r="A253" t="str">
        <f>"T511-1"</f>
        <v>T511-1</v>
      </c>
      <c r="B253" t="str">
        <f>"VIA FEDERICO SCLOPIS VICINO AL 1R-"</f>
        <v>VIA FEDERICO SCLOPIS VICINO AL 1R-</v>
      </c>
      <c r="C253" t="str">
        <f t="shared" si="24"/>
        <v>1</v>
      </c>
      <c r="D253">
        <v>80</v>
      </c>
      <c r="E253" t="str">
        <f>"185"</f>
        <v>185</v>
      </c>
      <c r="F253" t="str">
        <f t="shared" si="20"/>
        <v>0000</v>
      </c>
    </row>
    <row r="254" spans="1:6">
      <c r="A254" t="str">
        <f>"T511-2"</f>
        <v>T511-2</v>
      </c>
      <c r="B254" t="str">
        <f>"VIA FEDERICO SCLOPIS VICINO AL 1R-"</f>
        <v>VIA FEDERICO SCLOPIS VICINO AL 1R-</v>
      </c>
      <c r="C254" t="str">
        <f t="shared" si="24"/>
        <v>1</v>
      </c>
      <c r="D254">
        <v>80</v>
      </c>
      <c r="E254" t="str">
        <f>"203"</f>
        <v>203</v>
      </c>
      <c r="F254" t="str">
        <f t="shared" si="20"/>
        <v>0000</v>
      </c>
    </row>
    <row r="255" spans="1:6">
      <c r="A255" t="str">
        <f>"T511-3"</f>
        <v>T511-3</v>
      </c>
      <c r="B255" t="str">
        <f>"VIA FEDERICO SCLOPIS VICINO AL 1R-"</f>
        <v>VIA FEDERICO SCLOPIS VICINO AL 1R-</v>
      </c>
      <c r="C255" t="str">
        <f t="shared" si="24"/>
        <v>1</v>
      </c>
      <c r="D255">
        <v>80</v>
      </c>
      <c r="E255" t="str">
        <f>"199"</f>
        <v>199</v>
      </c>
      <c r="F255" t="str">
        <f t="shared" si="20"/>
        <v>0000</v>
      </c>
    </row>
    <row r="256" spans="1:6">
      <c r="A256" t="str">
        <f>"T511-4"</f>
        <v>T511-4</v>
      </c>
      <c r="B256" t="str">
        <f>"VIA FEDERICO SCLOPIS VICINO AL 1R-"</f>
        <v>VIA FEDERICO SCLOPIS VICINO AL 1R-</v>
      </c>
      <c r="C256" t="str">
        <f t="shared" si="24"/>
        <v>1</v>
      </c>
      <c r="D256">
        <v>80</v>
      </c>
      <c r="E256" t="str">
        <f>"215"</f>
        <v>215</v>
      </c>
      <c r="F256" t="str">
        <f t="shared" si="20"/>
        <v>0000</v>
      </c>
    </row>
    <row r="257" spans="1:6">
      <c r="A257" t="str">
        <f>"T511-5"</f>
        <v>T511-5</v>
      </c>
      <c r="B257" t="str">
        <f>"VIA FEDERICO SCLOPIS VICINO AL 1R-"</f>
        <v>VIA FEDERICO SCLOPIS VICINO AL 1R-</v>
      </c>
      <c r="C257" t="str">
        <f t="shared" si="24"/>
        <v>1</v>
      </c>
      <c r="D257">
        <v>80</v>
      </c>
      <c r="E257" t="str">
        <f>"245"</f>
        <v>245</v>
      </c>
      <c r="F257" t="str">
        <f t="shared" si="20"/>
        <v>0000</v>
      </c>
    </row>
    <row r="258" spans="1:6">
      <c r="A258" t="str">
        <f>"T512-1"</f>
        <v>T512-1</v>
      </c>
      <c r="B258" t="str">
        <f t="shared" ref="B258:B263" si="25">"VIA NORA MASSA VICINO AL 9-"</f>
        <v>VIA NORA MASSA VICINO AL 9-</v>
      </c>
      <c r="C258" t="str">
        <f>"9"</f>
        <v>9</v>
      </c>
      <c r="D258">
        <v>9</v>
      </c>
      <c r="E258" t="str">
        <f>"599"</f>
        <v>599</v>
      </c>
      <c r="F258" t="str">
        <f t="shared" ref="F258:F286" si="26">"0000"</f>
        <v>0000</v>
      </c>
    </row>
    <row r="259" spans="1:6">
      <c r="A259" t="str">
        <f>"T512-2"</f>
        <v>T512-2</v>
      </c>
      <c r="B259" t="str">
        <f t="shared" si="25"/>
        <v>VIA NORA MASSA VICINO AL 9-</v>
      </c>
      <c r="C259" t="str">
        <f>"9"</f>
        <v>9</v>
      </c>
      <c r="D259">
        <v>9</v>
      </c>
      <c r="E259" t="str">
        <f>"653"</f>
        <v>653</v>
      </c>
      <c r="F259" t="str">
        <f t="shared" si="26"/>
        <v>0000</v>
      </c>
    </row>
    <row r="260" spans="1:6">
      <c r="A260" t="str">
        <f>"T512-3"</f>
        <v>T512-3</v>
      </c>
      <c r="B260" t="str">
        <f t="shared" si="25"/>
        <v>VIA NORA MASSA VICINO AL 9-</v>
      </c>
      <c r="C260" t="str">
        <f>"10"</f>
        <v>10</v>
      </c>
      <c r="D260">
        <v>6</v>
      </c>
      <c r="E260" t="str">
        <f>"344"</f>
        <v>344</v>
      </c>
      <c r="F260" t="str">
        <f t="shared" si="26"/>
        <v>0000</v>
      </c>
    </row>
    <row r="261" spans="1:6">
      <c r="A261" t="str">
        <f>"T512-4"</f>
        <v>T512-4</v>
      </c>
      <c r="B261" t="str">
        <f t="shared" si="25"/>
        <v>VIA NORA MASSA VICINO AL 9-</v>
      </c>
      <c r="C261" t="str">
        <f>"10"</f>
        <v>10</v>
      </c>
      <c r="D261">
        <v>6</v>
      </c>
      <c r="E261" t="str">
        <f>"362"</f>
        <v>362</v>
      </c>
      <c r="F261" t="str">
        <f t="shared" si="26"/>
        <v>0000</v>
      </c>
    </row>
    <row r="262" spans="1:6">
      <c r="A262" t="str">
        <f>"T512-5"</f>
        <v>T512-5</v>
      </c>
      <c r="B262" t="str">
        <f t="shared" si="25"/>
        <v>VIA NORA MASSA VICINO AL 9-</v>
      </c>
      <c r="C262" t="str">
        <f>"10"</f>
        <v>10</v>
      </c>
      <c r="D262">
        <v>6</v>
      </c>
      <c r="E262" t="str">
        <f>"373"</f>
        <v>373</v>
      </c>
      <c r="F262" t="str">
        <f t="shared" si="26"/>
        <v>0000</v>
      </c>
    </row>
    <row r="263" spans="1:6">
      <c r="A263" t="str">
        <f>"T512-6"</f>
        <v>T512-6</v>
      </c>
      <c r="B263" t="str">
        <f t="shared" si="25"/>
        <v>VIA NORA MASSA VICINO AL 9-</v>
      </c>
      <c r="C263" t="str">
        <f>"9"</f>
        <v>9</v>
      </c>
      <c r="D263">
        <v>6</v>
      </c>
      <c r="E263" t="str">
        <f>"245"</f>
        <v>245</v>
      </c>
      <c r="F263" t="str">
        <f t="shared" si="26"/>
        <v>0000</v>
      </c>
    </row>
    <row r="264" spans="1:6">
      <c r="A264" t="str">
        <f>"T513-1"</f>
        <v>T513-1</v>
      </c>
      <c r="B264" t="str">
        <f>"VIA DEI MARSANO VICINO AL 8-"</f>
        <v>VIA DEI MARSANO VICINO AL 8-</v>
      </c>
      <c r="C264" t="str">
        <f>"10"</f>
        <v>10</v>
      </c>
      <c r="D264">
        <v>6</v>
      </c>
      <c r="E264" t="str">
        <f>"491"</f>
        <v>491</v>
      </c>
      <c r="F264" t="str">
        <f t="shared" si="26"/>
        <v>0000</v>
      </c>
    </row>
    <row r="265" spans="1:6">
      <c r="A265" t="str">
        <f>"T513-2"</f>
        <v>T513-2</v>
      </c>
      <c r="B265" t="str">
        <f>"VIA DEI MARSANO VICINO AL 8-"</f>
        <v>VIA DEI MARSANO VICINO AL 8-</v>
      </c>
      <c r="C265" t="str">
        <f>"10"</f>
        <v>10</v>
      </c>
      <c r="D265">
        <v>6</v>
      </c>
      <c r="E265" t="str">
        <f>"495"</f>
        <v>495</v>
      </c>
      <c r="F265" t="str">
        <f t="shared" si="26"/>
        <v>0000</v>
      </c>
    </row>
    <row r="266" spans="1:6">
      <c r="A266" t="str">
        <f>"T513-3"</f>
        <v>T513-3</v>
      </c>
      <c r="B266" t="str">
        <f>"VIA DEI MARSANO VICINO AL 8-"</f>
        <v>VIA DEI MARSANO VICINO AL 8-</v>
      </c>
      <c r="C266" t="str">
        <f>"10"</f>
        <v>10</v>
      </c>
      <c r="D266">
        <v>6</v>
      </c>
      <c r="E266" t="str">
        <f>"292"</f>
        <v>292</v>
      </c>
      <c r="F266" t="str">
        <f t="shared" si="26"/>
        <v>0000</v>
      </c>
    </row>
    <row r="267" spans="1:6">
      <c r="A267" t="str">
        <f>"T514-1"</f>
        <v>T514-1</v>
      </c>
      <c r="B267" t="str">
        <f>"VIA PIANI DI FERRETTO VICINO AL 9-"</f>
        <v>VIA PIANI DI FERRETTO VICINO AL 9-</v>
      </c>
      <c r="C267" t="str">
        <f>"5"</f>
        <v>5</v>
      </c>
      <c r="D267">
        <v>49</v>
      </c>
      <c r="E267" t="str">
        <f>"329"</f>
        <v>329</v>
      </c>
      <c r="F267" t="str">
        <f t="shared" si="26"/>
        <v>0000</v>
      </c>
    </row>
    <row r="268" spans="1:6">
      <c r="A268" t="str">
        <f>"T514-2"</f>
        <v>T514-2</v>
      </c>
      <c r="B268" t="str">
        <f>"VIA PIANI DI FERRETTO VICINO AL 9-"</f>
        <v>VIA PIANI DI FERRETTO VICINO AL 9-</v>
      </c>
      <c r="C268" t="str">
        <f>"5"</f>
        <v>5</v>
      </c>
      <c r="D268">
        <v>49</v>
      </c>
      <c r="E268" t="str">
        <f>"331"</f>
        <v>331</v>
      </c>
      <c r="F268" t="str">
        <f t="shared" si="26"/>
        <v>0000</v>
      </c>
    </row>
    <row r="269" spans="1:6">
      <c r="A269" t="str">
        <f>"T515-1"</f>
        <v>T515-1</v>
      </c>
      <c r="B269" t="str">
        <f>"VIA CANNETO SAN DESIDERIO VICINO AL 32-"</f>
        <v>VIA CANNETO SAN DESIDERIO VICINO AL 32-</v>
      </c>
      <c r="C269" t="str">
        <f>"6"</f>
        <v>6</v>
      </c>
      <c r="D269">
        <v>4</v>
      </c>
      <c r="E269" t="str">
        <f>"170"</f>
        <v>170</v>
      </c>
      <c r="F269" t="str">
        <f t="shared" si="26"/>
        <v>0000</v>
      </c>
    </row>
    <row r="270" spans="1:6">
      <c r="A270" t="str">
        <f>"T515-2"</f>
        <v>T515-2</v>
      </c>
      <c r="B270" t="str">
        <f>"VIA CANNETO SAN DESIDERIO VICINO AL 32-"</f>
        <v>VIA CANNETO SAN DESIDERIO VICINO AL 32-</v>
      </c>
      <c r="C270" t="str">
        <f>"6"</f>
        <v>6</v>
      </c>
      <c r="D270">
        <v>4</v>
      </c>
      <c r="E270" t="str">
        <f>"171"</f>
        <v>171</v>
      </c>
      <c r="F270" t="str">
        <f t="shared" si="26"/>
        <v>0000</v>
      </c>
    </row>
    <row r="271" spans="1:6">
      <c r="A271" t="str">
        <f>"T516-1"</f>
        <v>T516-1</v>
      </c>
      <c r="B271" t="str">
        <f>"VIA CANNETO SAN DESIDERIO VICINO AL 11G-"</f>
        <v>VIA CANNETO SAN DESIDERIO VICINO AL 11G-</v>
      </c>
      <c r="C271" t="str">
        <f>"6"</f>
        <v>6</v>
      </c>
      <c r="D271">
        <v>4</v>
      </c>
      <c r="E271" t="str">
        <f>"171"</f>
        <v>171</v>
      </c>
      <c r="F271" t="str">
        <f t="shared" si="26"/>
        <v>0000</v>
      </c>
    </row>
    <row r="272" spans="1:6">
      <c r="A272" t="str">
        <f>"T517-1"</f>
        <v>T517-1</v>
      </c>
      <c r="B272" t="str">
        <f>"VIA DELLA GAIGIANA VICINO AL 2-"</f>
        <v>VIA DELLA GAIGIANA VICINO AL 2-</v>
      </c>
      <c r="C272" t="str">
        <f>"10"</f>
        <v>10</v>
      </c>
      <c r="D272">
        <v>6</v>
      </c>
      <c r="E272" t="str">
        <f>"137"</f>
        <v>137</v>
      </c>
      <c r="F272" t="str">
        <f t="shared" si="26"/>
        <v>0000</v>
      </c>
    </row>
    <row r="273" spans="1:6">
      <c r="A273" t="str">
        <f>"T517-2"</f>
        <v>T517-2</v>
      </c>
      <c r="B273" t="str">
        <f>"VIA DELLA GAIGIANA VICINO AL 2-"</f>
        <v>VIA DELLA GAIGIANA VICINO AL 2-</v>
      </c>
      <c r="C273" t="str">
        <f>"10"</f>
        <v>10</v>
      </c>
      <c r="D273">
        <v>7</v>
      </c>
      <c r="E273" t="str">
        <f>"10"</f>
        <v>10</v>
      </c>
      <c r="F273" t="str">
        <f t="shared" si="26"/>
        <v>0000</v>
      </c>
    </row>
    <row r="274" spans="1:6">
      <c r="A274" t="str">
        <f>"T517-3"</f>
        <v>T517-3</v>
      </c>
      <c r="B274" t="str">
        <f>"VIA DELLA GAIGIANA VICINO AL 2-"</f>
        <v>VIA DELLA GAIGIANA VICINO AL 2-</v>
      </c>
      <c r="C274" t="str">
        <f>"10"</f>
        <v>10</v>
      </c>
      <c r="D274">
        <v>7</v>
      </c>
      <c r="E274" t="str">
        <f>"38"</f>
        <v>38</v>
      </c>
      <c r="F274" t="str">
        <f t="shared" si="26"/>
        <v>0000</v>
      </c>
    </row>
    <row r="275" spans="1:6">
      <c r="A275" t="str">
        <f>"T518-1"</f>
        <v>T518-1</v>
      </c>
      <c r="B275" t="str">
        <f>"VIA COSTA DI CANTALUPO VICINO AL 21-"</f>
        <v>VIA COSTA DI CANTALUPO VICINO AL 21-</v>
      </c>
      <c r="C275" t="str">
        <f>"10"</f>
        <v>10</v>
      </c>
      <c r="D275">
        <v>5</v>
      </c>
      <c r="E275" t="str">
        <f>"210"</f>
        <v>210</v>
      </c>
      <c r="F275" t="str">
        <f t="shared" si="26"/>
        <v>0000</v>
      </c>
    </row>
    <row r="276" spans="1:6">
      <c r="A276" t="str">
        <f>"T520-1"</f>
        <v>T520-1</v>
      </c>
      <c r="B276" t="str">
        <f>"VIA PONTEVECCHIO VICINO AL 9-"</f>
        <v>VIA PONTEVECCHIO VICINO AL 9-</v>
      </c>
      <c r="C276" t="str">
        <f>"1"</f>
        <v>1</v>
      </c>
      <c r="D276">
        <v>79</v>
      </c>
      <c r="E276" t="str">
        <f>"987"</f>
        <v>987</v>
      </c>
      <c r="F276" t="str">
        <f t="shared" si="26"/>
        <v>0000</v>
      </c>
    </row>
    <row r="277" spans="1:6">
      <c r="A277" t="str">
        <f>"T520-2"</f>
        <v>T520-2</v>
      </c>
      <c r="B277" t="str">
        <f>"VIA PONTEVECCHIO VICINO AL 9-"</f>
        <v>VIA PONTEVECCHIO VICINO AL 9-</v>
      </c>
      <c r="C277" t="str">
        <f>"1"</f>
        <v>1</v>
      </c>
      <c r="D277">
        <v>79</v>
      </c>
      <c r="E277" t="str">
        <f>"369"</f>
        <v>369</v>
      </c>
      <c r="F277" t="str">
        <f t="shared" si="26"/>
        <v>0000</v>
      </c>
    </row>
    <row r="278" spans="1:6">
      <c r="A278" t="str">
        <f>"T520-3"</f>
        <v>T520-3</v>
      </c>
      <c r="B278" t="str">
        <f>"VIA PONTEVECCHIO VICINO AL 9-"</f>
        <v>VIA PONTEVECCHIO VICINO AL 9-</v>
      </c>
      <c r="C278" t="str">
        <f>"1"</f>
        <v>1</v>
      </c>
      <c r="D278">
        <v>79</v>
      </c>
      <c r="E278" t="str">
        <f>"470"</f>
        <v>470</v>
      </c>
      <c r="F278" t="str">
        <f t="shared" si="26"/>
        <v>0000</v>
      </c>
    </row>
    <row r="279" spans="1:6">
      <c r="A279" t="str">
        <f>"T673-1"</f>
        <v>T673-1</v>
      </c>
      <c r="B279" t="str">
        <f>"VIA VITTORINO ERA VICINO AL 1-"</f>
        <v>VIA VITTORINO ERA VICINO AL 1-</v>
      </c>
      <c r="C279" t="str">
        <f>"1"</f>
        <v>1</v>
      </c>
      <c r="D279">
        <v>81</v>
      </c>
      <c r="E279" t="str">
        <f>"265"</f>
        <v>265</v>
      </c>
      <c r="F279" t="str">
        <f t="shared" si="26"/>
        <v>0000</v>
      </c>
    </row>
    <row r="280" spans="1:6">
      <c r="A280" t="str">
        <f>"T673-2"</f>
        <v>T673-2</v>
      </c>
      <c r="B280" t="str">
        <f>"VIA VITTORINO ERA VICINO AL 1-"</f>
        <v>VIA VITTORINO ERA VICINO AL 1-</v>
      </c>
      <c r="C280" t="str">
        <f>"1"</f>
        <v>1</v>
      </c>
      <c r="D280">
        <v>81</v>
      </c>
      <c r="E280" t="str">
        <f>"191"</f>
        <v>191</v>
      </c>
      <c r="F280" t="str">
        <f t="shared" si="26"/>
        <v>0000</v>
      </c>
    </row>
    <row r="281" spans="1:6">
      <c r="A281" t="str">
        <f>"T863-1"</f>
        <v>T863-1</v>
      </c>
      <c r="B281" t="str">
        <f>"VIA C AUGUSTO VECCHI VICINO AL 21-"</f>
        <v>VIA C AUGUSTO VECCHI VICINO AL 21-</v>
      </c>
      <c r="C281" t="str">
        <f>"7"</f>
        <v>7</v>
      </c>
      <c r="D281">
        <v>6</v>
      </c>
      <c r="E281" t="str">
        <f>"286"</f>
        <v>286</v>
      </c>
      <c r="F281" t="str">
        <f t="shared" si="26"/>
        <v>0000</v>
      </c>
    </row>
    <row r="282" spans="1:6">
      <c r="A282" t="str">
        <f>"T863-2"</f>
        <v>T863-2</v>
      </c>
      <c r="B282" t="str">
        <f>"VIA C AUGUSTO VECCHI VICINO AL 21-"</f>
        <v>VIA C AUGUSTO VECCHI VICINO AL 21-</v>
      </c>
      <c r="C282" t="str">
        <f>"7"</f>
        <v>7</v>
      </c>
      <c r="D282">
        <v>6</v>
      </c>
      <c r="E282" t="str">
        <f>"287"</f>
        <v>287</v>
      </c>
      <c r="F282" t="str">
        <f t="shared" si="26"/>
        <v>0000</v>
      </c>
    </row>
    <row r="283" spans="1:6">
      <c r="A283" t="str">
        <f>"T863-3"</f>
        <v>T863-3</v>
      </c>
      <c r="B283" t="str">
        <f>"VIA C AUGUSTO VECCHI VICINO AL 21-"</f>
        <v>VIA C AUGUSTO VECCHI VICINO AL 21-</v>
      </c>
      <c r="C283" t="str">
        <f>"7"</f>
        <v>7</v>
      </c>
      <c r="D283">
        <v>6</v>
      </c>
      <c r="E283" t="str">
        <f>"2393"</f>
        <v>2393</v>
      </c>
      <c r="F283" t="str">
        <f t="shared" si="26"/>
        <v>0000</v>
      </c>
    </row>
    <row r="284" spans="1:6">
      <c r="A284" t="str">
        <f>"T863-3"</f>
        <v>T863-3</v>
      </c>
      <c r="B284" t="str">
        <f>"VIA C AUGUSTO VECCHI VICINO AL 21-"</f>
        <v>VIA C AUGUSTO VECCHI VICINO AL 21-</v>
      </c>
      <c r="C284" t="str">
        <f>"7"</f>
        <v>7</v>
      </c>
      <c r="D284">
        <v>6</v>
      </c>
      <c r="E284" t="str">
        <f>"2391"</f>
        <v>2391</v>
      </c>
      <c r="F284" t="str">
        <f t="shared" si="26"/>
        <v>0000</v>
      </c>
    </row>
    <row r="285" spans="1:6">
      <c r="A285" t="str">
        <f>"T863-4"</f>
        <v>T863-4</v>
      </c>
      <c r="B285" t="str">
        <f>"VIA C AUGUSTO VECCHI VICINO AL 21-"</f>
        <v>VIA C AUGUSTO VECCHI VICINO AL 21-</v>
      </c>
      <c r="C285" t="str">
        <f>"7"</f>
        <v>7</v>
      </c>
      <c r="D285">
        <v>6</v>
      </c>
      <c r="E285" t="str">
        <f>"622"</f>
        <v>622</v>
      </c>
      <c r="F285" t="str">
        <f t="shared" si="26"/>
        <v>0000</v>
      </c>
    </row>
    <row r="286" spans="1:6">
      <c r="A286" t="str">
        <f>"T1043-1"</f>
        <v>T1043-1</v>
      </c>
      <c r="B286" t="str">
        <f>"VIA PIANI DI FERRETTO VICINO AL 1-"</f>
        <v>VIA PIANI DI FERRETTO VICINO AL 1-</v>
      </c>
      <c r="C286" t="str">
        <f>"5"</f>
        <v>5</v>
      </c>
      <c r="D286">
        <v>49</v>
      </c>
      <c r="E286" t="str">
        <f>"A"</f>
        <v>A</v>
      </c>
      <c r="F286" t="str">
        <f t="shared" si="26"/>
        <v>0000</v>
      </c>
    </row>
    <row r="287" spans="1:6">
      <c r="A287" t="str">
        <f>"T1059-1"</f>
        <v>T1059-1</v>
      </c>
      <c r="B287" t="str">
        <f>"VIA FRANCESCO NULLO VICINO AL 23-"</f>
        <v>VIA FRANCESCO NULLO VICINO AL 23-</v>
      </c>
      <c r="C287" t="str">
        <f>"7"</f>
        <v>7</v>
      </c>
      <c r="D287">
        <v>6</v>
      </c>
      <c r="E287" t="str">
        <f>"2354"</f>
        <v>2354</v>
      </c>
      <c r="F287" t="str">
        <f>"21"</f>
        <v>21</v>
      </c>
    </row>
    <row r="288" spans="1:6">
      <c r="A288" t="str">
        <f>"T1060-1"</f>
        <v>T1060-1</v>
      </c>
      <c r="B288" t="str">
        <f>"VIA FRANCESCO NULLO VICINO AL 6A-"</f>
        <v>VIA FRANCESCO NULLO VICINO AL 6A-</v>
      </c>
      <c r="C288" t="str">
        <f>"7"</f>
        <v>7</v>
      </c>
      <c r="D288">
        <v>6</v>
      </c>
      <c r="E288" t="str">
        <f>"1952"</f>
        <v>1952</v>
      </c>
      <c r="F288" t="str">
        <f t="shared" ref="F288:F306" si="27">"0000"</f>
        <v>0000</v>
      </c>
    </row>
    <row r="289" spans="1:6">
      <c r="A289" t="str">
        <f>"T1060-1"</f>
        <v>T1060-1</v>
      </c>
      <c r="B289" t="str">
        <f>"VIA FRANCESCO NULLO VICINO AL 6A-"</f>
        <v>VIA FRANCESCO NULLO VICINO AL 6A-</v>
      </c>
      <c r="C289" t="str">
        <f>"7"</f>
        <v>7</v>
      </c>
      <c r="D289">
        <v>6</v>
      </c>
      <c r="E289" t="str">
        <f>"1949"</f>
        <v>1949</v>
      </c>
      <c r="F289" t="str">
        <f t="shared" si="27"/>
        <v>0000</v>
      </c>
    </row>
    <row r="290" spans="1:6">
      <c r="A290" t="str">
        <f>"T1061-1"</f>
        <v>T1061-1</v>
      </c>
      <c r="B290" t="str">
        <f>"VIA FRANCESCO NULLO VICINO AL 6A-"</f>
        <v>VIA FRANCESCO NULLO VICINO AL 6A-</v>
      </c>
      <c r="C290" t="str">
        <f>"7"</f>
        <v>7</v>
      </c>
      <c r="D290">
        <v>6</v>
      </c>
      <c r="E290" t="str">
        <f>"1953"</f>
        <v>1953</v>
      </c>
      <c r="F290" t="str">
        <f t="shared" si="27"/>
        <v>0000</v>
      </c>
    </row>
    <row r="291" spans="1:6">
      <c r="A291" t="str">
        <f>"T1063-1"</f>
        <v>T1063-1</v>
      </c>
      <c r="B291" t="str">
        <f t="shared" ref="B291:B306" si="28">"VIA DEL COMMERCIO VICINO AL 43-"</f>
        <v>VIA DEL COMMERCIO VICINO AL 43-</v>
      </c>
      <c r="C291" t="str">
        <f t="shared" ref="C291:C306" si="29">"9"</f>
        <v>9</v>
      </c>
      <c r="D291">
        <v>5</v>
      </c>
      <c r="E291" t="str">
        <f>"499"</f>
        <v>499</v>
      </c>
      <c r="F291" t="str">
        <f t="shared" si="27"/>
        <v>0000</v>
      </c>
    </row>
    <row r="292" spans="1:6">
      <c r="A292" t="str">
        <f>"T1063-2"</f>
        <v>T1063-2</v>
      </c>
      <c r="B292" t="str">
        <f t="shared" si="28"/>
        <v>VIA DEL COMMERCIO VICINO AL 43-</v>
      </c>
      <c r="C292" t="str">
        <f t="shared" si="29"/>
        <v>9</v>
      </c>
      <c r="D292">
        <v>5</v>
      </c>
      <c r="E292" t="str">
        <f>"501"</f>
        <v>501</v>
      </c>
      <c r="F292" t="str">
        <f t="shared" si="27"/>
        <v>0000</v>
      </c>
    </row>
    <row r="293" spans="1:6">
      <c r="A293" t="str">
        <f>"T1063-3"</f>
        <v>T1063-3</v>
      </c>
      <c r="B293" t="str">
        <f t="shared" si="28"/>
        <v>VIA DEL COMMERCIO VICINO AL 43-</v>
      </c>
      <c r="C293" t="str">
        <f t="shared" si="29"/>
        <v>9</v>
      </c>
      <c r="D293">
        <v>5</v>
      </c>
      <c r="E293" t="str">
        <f>"503"</f>
        <v>503</v>
      </c>
      <c r="F293" t="str">
        <f t="shared" si="27"/>
        <v>0000</v>
      </c>
    </row>
    <row r="294" spans="1:6">
      <c r="A294" t="str">
        <f>"T1063-4"</f>
        <v>T1063-4</v>
      </c>
      <c r="B294" t="str">
        <f t="shared" si="28"/>
        <v>VIA DEL COMMERCIO VICINO AL 43-</v>
      </c>
      <c r="C294" t="str">
        <f t="shared" si="29"/>
        <v>9</v>
      </c>
      <c r="D294">
        <v>5</v>
      </c>
      <c r="E294" t="str">
        <f>"505"</f>
        <v>505</v>
      </c>
      <c r="F294" t="str">
        <f t="shared" si="27"/>
        <v>0000</v>
      </c>
    </row>
    <row r="295" spans="1:6">
      <c r="A295" t="str">
        <f>"T1063-5"</f>
        <v>T1063-5</v>
      </c>
      <c r="B295" t="str">
        <f t="shared" si="28"/>
        <v>VIA DEL COMMERCIO VICINO AL 43-</v>
      </c>
      <c r="C295" t="str">
        <f t="shared" si="29"/>
        <v>9</v>
      </c>
      <c r="D295">
        <v>5</v>
      </c>
      <c r="E295" t="str">
        <f>"507"</f>
        <v>507</v>
      </c>
      <c r="F295" t="str">
        <f t="shared" si="27"/>
        <v>0000</v>
      </c>
    </row>
    <row r="296" spans="1:6">
      <c r="A296" t="str">
        <f>"T1063-6"</f>
        <v>T1063-6</v>
      </c>
      <c r="B296" t="str">
        <f t="shared" si="28"/>
        <v>VIA DEL COMMERCIO VICINO AL 43-</v>
      </c>
      <c r="C296" t="str">
        <f t="shared" si="29"/>
        <v>9</v>
      </c>
      <c r="D296">
        <v>5</v>
      </c>
      <c r="E296" t="str">
        <f>"509"</f>
        <v>509</v>
      </c>
      <c r="F296" t="str">
        <f t="shared" si="27"/>
        <v>0000</v>
      </c>
    </row>
    <row r="297" spans="1:6">
      <c r="A297" t="str">
        <f>"T1063-7"</f>
        <v>T1063-7</v>
      </c>
      <c r="B297" t="str">
        <f t="shared" si="28"/>
        <v>VIA DEL COMMERCIO VICINO AL 43-</v>
      </c>
      <c r="C297" t="str">
        <f t="shared" si="29"/>
        <v>9</v>
      </c>
      <c r="D297">
        <v>3</v>
      </c>
      <c r="E297" t="str">
        <f>"411"</f>
        <v>411</v>
      </c>
      <c r="F297" t="str">
        <f t="shared" si="27"/>
        <v>0000</v>
      </c>
    </row>
    <row r="298" spans="1:6">
      <c r="A298" t="str">
        <f>"T1063-8"</f>
        <v>T1063-8</v>
      </c>
      <c r="B298" t="str">
        <f t="shared" si="28"/>
        <v>VIA DEL COMMERCIO VICINO AL 43-</v>
      </c>
      <c r="C298" t="str">
        <f t="shared" si="29"/>
        <v>9</v>
      </c>
      <c r="D298">
        <v>3</v>
      </c>
      <c r="E298" t="str">
        <f>"409"</f>
        <v>409</v>
      </c>
      <c r="F298" t="str">
        <f t="shared" si="27"/>
        <v>0000</v>
      </c>
    </row>
    <row r="299" spans="1:6">
      <c r="A299" t="str">
        <f>"T1063-9"</f>
        <v>T1063-9</v>
      </c>
      <c r="B299" t="str">
        <f t="shared" si="28"/>
        <v>VIA DEL COMMERCIO VICINO AL 43-</v>
      </c>
      <c r="C299" t="str">
        <f t="shared" si="29"/>
        <v>9</v>
      </c>
      <c r="D299">
        <v>5</v>
      </c>
      <c r="E299" t="str">
        <f>"497"</f>
        <v>497</v>
      </c>
      <c r="F299" t="str">
        <f t="shared" si="27"/>
        <v>0000</v>
      </c>
    </row>
    <row r="300" spans="1:6">
      <c r="A300" t="str">
        <f>"T1063-10"</f>
        <v>T1063-10</v>
      </c>
      <c r="B300" t="str">
        <f t="shared" si="28"/>
        <v>VIA DEL COMMERCIO VICINO AL 43-</v>
      </c>
      <c r="C300" t="str">
        <f t="shared" si="29"/>
        <v>9</v>
      </c>
      <c r="D300">
        <v>5</v>
      </c>
      <c r="E300" t="str">
        <f>"495"</f>
        <v>495</v>
      </c>
      <c r="F300" t="str">
        <f t="shared" si="27"/>
        <v>0000</v>
      </c>
    </row>
    <row r="301" spans="1:6">
      <c r="A301" t="str">
        <f>"T1063-11"</f>
        <v>T1063-11</v>
      </c>
      <c r="B301" t="str">
        <f t="shared" si="28"/>
        <v>VIA DEL COMMERCIO VICINO AL 43-</v>
      </c>
      <c r="C301" t="str">
        <f t="shared" si="29"/>
        <v>9</v>
      </c>
      <c r="D301">
        <v>6</v>
      </c>
      <c r="E301" t="str">
        <f>"894"</f>
        <v>894</v>
      </c>
      <c r="F301" t="str">
        <f t="shared" si="27"/>
        <v>0000</v>
      </c>
    </row>
    <row r="302" spans="1:6">
      <c r="A302" t="str">
        <f>"T1063-12"</f>
        <v>T1063-12</v>
      </c>
      <c r="B302" t="str">
        <f t="shared" si="28"/>
        <v>VIA DEL COMMERCIO VICINO AL 43-</v>
      </c>
      <c r="C302" t="str">
        <f t="shared" si="29"/>
        <v>9</v>
      </c>
      <c r="D302">
        <v>6</v>
      </c>
      <c r="E302" t="str">
        <f>"884"</f>
        <v>884</v>
      </c>
      <c r="F302" t="str">
        <f t="shared" si="27"/>
        <v>0000</v>
      </c>
    </row>
    <row r="303" spans="1:6">
      <c r="A303" t="str">
        <f>"T1063-13"</f>
        <v>T1063-13</v>
      </c>
      <c r="B303" t="str">
        <f t="shared" si="28"/>
        <v>VIA DEL COMMERCIO VICINO AL 43-</v>
      </c>
      <c r="C303" t="str">
        <f t="shared" si="29"/>
        <v>9</v>
      </c>
      <c r="D303">
        <v>6</v>
      </c>
      <c r="E303" t="str">
        <f>"886"</f>
        <v>886</v>
      </c>
      <c r="F303" t="str">
        <f t="shared" si="27"/>
        <v>0000</v>
      </c>
    </row>
    <row r="304" spans="1:6">
      <c r="A304" t="str">
        <f>"T1063-14"</f>
        <v>T1063-14</v>
      </c>
      <c r="B304" t="str">
        <f t="shared" si="28"/>
        <v>VIA DEL COMMERCIO VICINO AL 43-</v>
      </c>
      <c r="C304" t="str">
        <f t="shared" si="29"/>
        <v>9</v>
      </c>
      <c r="D304">
        <v>6</v>
      </c>
      <c r="E304" t="str">
        <f>"888"</f>
        <v>888</v>
      </c>
      <c r="F304" t="str">
        <f t="shared" si="27"/>
        <v>0000</v>
      </c>
    </row>
    <row r="305" spans="1:6">
      <c r="A305" t="str">
        <f>"T1063-15"</f>
        <v>T1063-15</v>
      </c>
      <c r="B305" t="str">
        <f t="shared" si="28"/>
        <v>VIA DEL COMMERCIO VICINO AL 43-</v>
      </c>
      <c r="C305" t="str">
        <f t="shared" si="29"/>
        <v>9</v>
      </c>
      <c r="D305">
        <v>6</v>
      </c>
      <c r="E305" t="str">
        <f>"890"</f>
        <v>890</v>
      </c>
      <c r="F305" t="str">
        <f t="shared" si="27"/>
        <v>0000</v>
      </c>
    </row>
    <row r="306" spans="1:6">
      <c r="A306" t="str">
        <f>"T1063-16"</f>
        <v>T1063-16</v>
      </c>
      <c r="B306" t="str">
        <f t="shared" si="28"/>
        <v>VIA DEL COMMERCIO VICINO AL 43-</v>
      </c>
      <c r="C306" t="str">
        <f t="shared" si="29"/>
        <v>9</v>
      </c>
      <c r="D306">
        <v>6</v>
      </c>
      <c r="E306" t="str">
        <f>"892"</f>
        <v>892</v>
      </c>
      <c r="F306" t="str">
        <f t="shared" si="27"/>
        <v>0000</v>
      </c>
    </row>
    <row r="307" spans="1:6">
      <c r="A307" t="str">
        <f>"T1073-1"</f>
        <v>T1073-1</v>
      </c>
      <c r="B307" t="str">
        <f>"VIA VITTORINO ERA  7AR-"</f>
        <v>VIA VITTORINO ERA  7AR-</v>
      </c>
      <c r="C307" t="str">
        <f>"GEB"</f>
        <v>GEB</v>
      </c>
      <c r="D307">
        <v>63</v>
      </c>
      <c r="E307" t="str">
        <f>"781"</f>
        <v>781</v>
      </c>
      <c r="F307" t="str">
        <f>"62"</f>
        <v>62</v>
      </c>
    </row>
    <row r="308" spans="1:6">
      <c r="A308" t="str">
        <f>"T1075-1"</f>
        <v>T1075-1</v>
      </c>
      <c r="B308" t="str">
        <f>"VIA MONACO SIMONE VICINO AL 27-"</f>
        <v>VIA MONACO SIMONE VICINO AL 27-</v>
      </c>
      <c r="C308" t="str">
        <f>"6"</f>
        <v>6</v>
      </c>
      <c r="D308">
        <v>15</v>
      </c>
      <c r="E308" t="str">
        <f>"1443"</f>
        <v>1443</v>
      </c>
      <c r="F308" t="str">
        <f t="shared" ref="F308:F314" si="30">"0000"</f>
        <v>0000</v>
      </c>
    </row>
    <row r="309" spans="1:6">
      <c r="A309" t="str">
        <f>"T1075-2"</f>
        <v>T1075-2</v>
      </c>
      <c r="B309" t="str">
        <f>"VIA MONACO SIMONE VICINO AL 27-"</f>
        <v>VIA MONACO SIMONE VICINO AL 27-</v>
      </c>
      <c r="C309" t="str">
        <f>"6"</f>
        <v>6</v>
      </c>
      <c r="D309">
        <v>15</v>
      </c>
      <c r="E309" t="str">
        <f>"1469"</f>
        <v>1469</v>
      </c>
      <c r="F309" t="str">
        <f t="shared" si="30"/>
        <v>0000</v>
      </c>
    </row>
    <row r="310" spans="1:6">
      <c r="A310" t="str">
        <f>"T1075-3"</f>
        <v>T1075-3</v>
      </c>
      <c r="B310" t="str">
        <f>"VIA MONACO SIMONE VICINO AL 27-"</f>
        <v>VIA MONACO SIMONE VICINO AL 27-</v>
      </c>
      <c r="C310" t="str">
        <f>"6"</f>
        <v>6</v>
      </c>
      <c r="D310">
        <v>15</v>
      </c>
      <c r="E310" t="str">
        <f>"1462"</f>
        <v>1462</v>
      </c>
      <c r="F310" t="str">
        <f t="shared" si="30"/>
        <v>0000</v>
      </c>
    </row>
    <row r="311" spans="1:6">
      <c r="A311" t="str">
        <f>"T1075-4"</f>
        <v>T1075-4</v>
      </c>
      <c r="B311" t="str">
        <f>"VIA MONACO SIMONE VICINO AL 27-"</f>
        <v>VIA MONACO SIMONE VICINO AL 27-</v>
      </c>
      <c r="C311" t="str">
        <f>"6"</f>
        <v>6</v>
      </c>
      <c r="D311">
        <v>15</v>
      </c>
      <c r="E311" t="str">
        <f>"1464"</f>
        <v>1464</v>
      </c>
      <c r="F311" t="str">
        <f t="shared" si="30"/>
        <v>0000</v>
      </c>
    </row>
    <row r="312" spans="1:6">
      <c r="A312" t="str">
        <f>"T1080-1"</f>
        <v>T1080-1</v>
      </c>
      <c r="B312" t="str">
        <f>"VIA DEI MARSANO  10-"</f>
        <v>VIA DEI MARSANO  10-</v>
      </c>
      <c r="C312" t="str">
        <f>"9"</f>
        <v>9</v>
      </c>
      <c r="D312">
        <v>6</v>
      </c>
      <c r="E312" t="str">
        <f>"878"</f>
        <v>878</v>
      </c>
      <c r="F312" t="str">
        <f t="shared" si="30"/>
        <v>0000</v>
      </c>
    </row>
    <row r="313" spans="1:6">
      <c r="A313" t="str">
        <f>"T1080-1"</f>
        <v>T1080-1</v>
      </c>
      <c r="B313" t="str">
        <f>"VIA DEI MARSANO  10-"</f>
        <v>VIA DEI MARSANO  10-</v>
      </c>
      <c r="C313" t="str">
        <f>"9"</f>
        <v>9</v>
      </c>
      <c r="D313">
        <v>6</v>
      </c>
      <c r="E313" t="str">
        <f>"875"</f>
        <v>875</v>
      </c>
      <c r="F313" t="str">
        <f t="shared" si="30"/>
        <v>0000</v>
      </c>
    </row>
    <row r="314" spans="1:6">
      <c r="A314" t="str">
        <f>"T1080-1"</f>
        <v>T1080-1</v>
      </c>
      <c r="B314" t="str">
        <f>"VIA DEI MARSANO  10-"</f>
        <v>VIA DEI MARSANO  10-</v>
      </c>
      <c r="C314" t="str">
        <f>"9"</f>
        <v>9</v>
      </c>
      <c r="D314">
        <v>6</v>
      </c>
      <c r="E314" t="str">
        <f>"876"</f>
        <v>876</v>
      </c>
      <c r="F314" t="str">
        <f t="shared" si="30"/>
        <v>0000</v>
      </c>
    </row>
    <row r="315" spans="1:6">
      <c r="A315" t="str">
        <f>"T1086-1"</f>
        <v>T1086-1</v>
      </c>
      <c r="B315" t="str">
        <f t="shared" ref="B315:B343" si="31">"VIA GIULIO TANINI  11C-"</f>
        <v>VIA GIULIO TANINI  11C-</v>
      </c>
      <c r="C315" t="str">
        <f>"APP"</f>
        <v>APP</v>
      </c>
      <c r="D315">
        <v>47</v>
      </c>
      <c r="E315" t="str">
        <f>"1103"</f>
        <v>1103</v>
      </c>
      <c r="F315" t="str">
        <f>"1"</f>
        <v>1</v>
      </c>
    </row>
    <row r="316" spans="1:6">
      <c r="A316" t="str">
        <f>"T1086-2"</f>
        <v>T1086-2</v>
      </c>
      <c r="B316" t="str">
        <f t="shared" si="31"/>
        <v>VIA GIULIO TANINI  11C-</v>
      </c>
      <c r="C316" t="str">
        <f>"1"</f>
        <v>1</v>
      </c>
      <c r="D316">
        <v>59</v>
      </c>
      <c r="E316" t="str">
        <f>"1042"</f>
        <v>1042</v>
      </c>
      <c r="F316" t="str">
        <f>"0000"</f>
        <v>0000</v>
      </c>
    </row>
    <row r="317" spans="1:6">
      <c r="A317" t="str">
        <f>"T1086-3"</f>
        <v>T1086-3</v>
      </c>
      <c r="B317" t="str">
        <f t="shared" si="31"/>
        <v>VIA GIULIO TANINI  11C-</v>
      </c>
      <c r="C317" t="str">
        <f>"1"</f>
        <v>1</v>
      </c>
      <c r="D317">
        <v>59</v>
      </c>
      <c r="E317" t="str">
        <f>"1101"</f>
        <v>1101</v>
      </c>
      <c r="F317" t="str">
        <f>"0000"</f>
        <v>0000</v>
      </c>
    </row>
    <row r="318" spans="1:6">
      <c r="A318" t="str">
        <f>"T1086-4"</f>
        <v>T1086-4</v>
      </c>
      <c r="B318" t="str">
        <f t="shared" si="31"/>
        <v>VIA GIULIO TANINI  11C-</v>
      </c>
      <c r="C318" t="str">
        <f>"1"</f>
        <v>1</v>
      </c>
      <c r="D318">
        <v>59</v>
      </c>
      <c r="E318" t="str">
        <f>"1021"</f>
        <v>1021</v>
      </c>
      <c r="F318" t="str">
        <f>"0000"</f>
        <v>0000</v>
      </c>
    </row>
    <row r="319" spans="1:6">
      <c r="A319" t="str">
        <f>"T1086-5"</f>
        <v>T1086-5</v>
      </c>
      <c r="B319" t="str">
        <f t="shared" si="31"/>
        <v>VIA GIULIO TANINI  11C-</v>
      </c>
      <c r="C319" t="str">
        <f>"1"</f>
        <v>1</v>
      </c>
      <c r="D319">
        <v>59</v>
      </c>
      <c r="E319" t="str">
        <f>"1019"</f>
        <v>1019</v>
      </c>
      <c r="F319" t="str">
        <f>"0000"</f>
        <v>0000</v>
      </c>
    </row>
    <row r="320" spans="1:6">
      <c r="A320" t="str">
        <f>"T1086-6"</f>
        <v>T1086-6</v>
      </c>
      <c r="B320" t="str">
        <f t="shared" si="31"/>
        <v>VIA GIULIO TANINI  11C-</v>
      </c>
      <c r="C320" t="str">
        <f>"APP"</f>
        <v>APP</v>
      </c>
      <c r="D320">
        <v>47</v>
      </c>
      <c r="E320" t="str">
        <f>"144"</f>
        <v>144</v>
      </c>
      <c r="F320" t="str">
        <f>"4"</f>
        <v>4</v>
      </c>
    </row>
    <row r="321" spans="1:6">
      <c r="A321" t="str">
        <f>"T1086-6"</f>
        <v>T1086-6</v>
      </c>
      <c r="B321" t="str">
        <f t="shared" si="31"/>
        <v>VIA GIULIO TANINI  11C-</v>
      </c>
      <c r="C321" t="str">
        <f>"1"</f>
        <v>1</v>
      </c>
      <c r="D321">
        <v>59</v>
      </c>
      <c r="E321" t="str">
        <f>"1024"</f>
        <v>1024</v>
      </c>
      <c r="F321" t="str">
        <f>"0000"</f>
        <v>0000</v>
      </c>
    </row>
    <row r="322" spans="1:6">
      <c r="A322" t="str">
        <f>"T1086-7"</f>
        <v>T1086-7</v>
      </c>
      <c r="B322" t="str">
        <f t="shared" si="31"/>
        <v>VIA GIULIO TANINI  11C-</v>
      </c>
      <c r="C322" t="str">
        <f>"1"</f>
        <v>1</v>
      </c>
      <c r="D322">
        <v>59</v>
      </c>
      <c r="E322" t="str">
        <f>"1030"</f>
        <v>1030</v>
      </c>
      <c r="F322" t="str">
        <f>"0000"</f>
        <v>0000</v>
      </c>
    </row>
    <row r="323" spans="1:6">
      <c r="A323" t="str">
        <f>"T1086-8"</f>
        <v>T1086-8</v>
      </c>
      <c r="B323" t="str">
        <f t="shared" si="31"/>
        <v>VIA GIULIO TANINI  11C-</v>
      </c>
      <c r="C323" t="str">
        <f>"1"</f>
        <v>1</v>
      </c>
      <c r="D323">
        <v>59</v>
      </c>
      <c r="E323" t="str">
        <f>"1048"</f>
        <v>1048</v>
      </c>
      <c r="F323" t="str">
        <f>"0000"</f>
        <v>0000</v>
      </c>
    </row>
    <row r="324" spans="1:6">
      <c r="A324" t="str">
        <f>"T1086-9"</f>
        <v>T1086-9</v>
      </c>
      <c r="B324" t="str">
        <f t="shared" si="31"/>
        <v>VIA GIULIO TANINI  11C-</v>
      </c>
      <c r="C324" t="str">
        <f>"APP"</f>
        <v>APP</v>
      </c>
      <c r="D324">
        <v>47</v>
      </c>
      <c r="E324" t="str">
        <f>"155"</f>
        <v>155</v>
      </c>
      <c r="F324" t="str">
        <f>"0000"</f>
        <v>0000</v>
      </c>
    </row>
    <row r="325" spans="1:6">
      <c r="A325" t="str">
        <f>"T1086-10"</f>
        <v>T1086-10</v>
      </c>
      <c r="B325" t="str">
        <f t="shared" si="31"/>
        <v>VIA GIULIO TANINI  11C-</v>
      </c>
      <c r="C325" t="str">
        <f>"APP"</f>
        <v>APP</v>
      </c>
      <c r="D325">
        <v>47</v>
      </c>
      <c r="E325" t="str">
        <f>"1103"</f>
        <v>1103</v>
      </c>
      <c r="F325" t="str">
        <f>"2"</f>
        <v>2</v>
      </c>
    </row>
    <row r="326" spans="1:6">
      <c r="A326" t="str">
        <f>"T1086-11"</f>
        <v>T1086-11</v>
      </c>
      <c r="B326" t="str">
        <f t="shared" si="31"/>
        <v>VIA GIULIO TANINI  11C-</v>
      </c>
      <c r="C326" t="str">
        <f>"1"</f>
        <v>1</v>
      </c>
      <c r="D326">
        <v>59</v>
      </c>
      <c r="E326" t="str">
        <f>"385"</f>
        <v>385</v>
      </c>
      <c r="F326" t="str">
        <f>"0000"</f>
        <v>0000</v>
      </c>
    </row>
    <row r="327" spans="1:6">
      <c r="A327" t="str">
        <f>"T1086-12"</f>
        <v>T1086-12</v>
      </c>
      <c r="B327" t="str">
        <f t="shared" si="31"/>
        <v>VIA GIULIO TANINI  11C-</v>
      </c>
      <c r="C327" t="str">
        <f>"APP"</f>
        <v>APP</v>
      </c>
      <c r="D327">
        <v>47</v>
      </c>
      <c r="E327" t="str">
        <f>"157"</f>
        <v>157</v>
      </c>
      <c r="F327" t="str">
        <f>"1"</f>
        <v>1</v>
      </c>
    </row>
    <row r="328" spans="1:6">
      <c r="A328" t="str">
        <f>"T1086-13"</f>
        <v>T1086-13</v>
      </c>
      <c r="B328" t="str">
        <f t="shared" si="31"/>
        <v>VIA GIULIO TANINI  11C-</v>
      </c>
      <c r="C328" t="str">
        <f>"APP"</f>
        <v>APP</v>
      </c>
      <c r="D328">
        <v>47</v>
      </c>
      <c r="E328" t="str">
        <f>"157"</f>
        <v>157</v>
      </c>
      <c r="F328" t="str">
        <f>"2"</f>
        <v>2</v>
      </c>
    </row>
    <row r="329" spans="1:6">
      <c r="A329" t="str">
        <f>"T1086-14"</f>
        <v>T1086-14</v>
      </c>
      <c r="B329" t="str">
        <f t="shared" si="31"/>
        <v>VIA GIULIO TANINI  11C-</v>
      </c>
      <c r="C329" t="str">
        <f>"1"</f>
        <v>1</v>
      </c>
      <c r="D329">
        <v>59</v>
      </c>
      <c r="E329" t="str">
        <f>"1049"</f>
        <v>1049</v>
      </c>
      <c r="F329" t="str">
        <f>"0000"</f>
        <v>0000</v>
      </c>
    </row>
    <row r="330" spans="1:6">
      <c r="A330" t="str">
        <f>"T1086-15"</f>
        <v>T1086-15</v>
      </c>
      <c r="B330" t="str">
        <f t="shared" si="31"/>
        <v>VIA GIULIO TANINI  11C-</v>
      </c>
      <c r="C330" t="str">
        <f>"1"</f>
        <v>1</v>
      </c>
      <c r="D330">
        <v>59</v>
      </c>
      <c r="E330" t="str">
        <f>"1052"</f>
        <v>1052</v>
      </c>
      <c r="F330" t="str">
        <f>"000"</f>
        <v>000</v>
      </c>
    </row>
    <row r="331" spans="1:6">
      <c r="A331" t="str">
        <f>"T1086-16"</f>
        <v>T1086-16</v>
      </c>
      <c r="B331" t="str">
        <f t="shared" si="31"/>
        <v>VIA GIULIO TANINI  11C-</v>
      </c>
      <c r="C331" t="str">
        <f>"1"</f>
        <v>1</v>
      </c>
      <c r="D331">
        <v>59</v>
      </c>
      <c r="E331" t="str">
        <f>"386"</f>
        <v>386</v>
      </c>
      <c r="F331" t="str">
        <f>"0000"</f>
        <v>0000</v>
      </c>
    </row>
    <row r="332" spans="1:6">
      <c r="A332" t="str">
        <f>"T1086-17"</f>
        <v>T1086-17</v>
      </c>
      <c r="B332" t="str">
        <f t="shared" si="31"/>
        <v>VIA GIULIO TANINI  11C-</v>
      </c>
      <c r="C332" t="str">
        <f>"1"</f>
        <v>1</v>
      </c>
      <c r="D332">
        <v>59</v>
      </c>
      <c r="E332" t="str">
        <f>"1051"</f>
        <v>1051</v>
      </c>
      <c r="F332" t="str">
        <f>"0000"</f>
        <v>0000</v>
      </c>
    </row>
    <row r="333" spans="1:6">
      <c r="A333" t="str">
        <f>"T1086-18"</f>
        <v>T1086-18</v>
      </c>
      <c r="B333" t="str">
        <f t="shared" si="31"/>
        <v>VIA GIULIO TANINI  11C-</v>
      </c>
      <c r="C333" t="str">
        <f>"1"</f>
        <v>1</v>
      </c>
      <c r="D333">
        <v>59</v>
      </c>
      <c r="E333" t="str">
        <f>"1035"</f>
        <v>1035</v>
      </c>
      <c r="F333" t="str">
        <f>"0000"</f>
        <v>0000</v>
      </c>
    </row>
    <row r="334" spans="1:6">
      <c r="A334" t="str">
        <f>"T1086-19"</f>
        <v>T1086-19</v>
      </c>
      <c r="B334" t="str">
        <f t="shared" si="31"/>
        <v>VIA GIULIO TANINI  11C-</v>
      </c>
      <c r="C334" t="str">
        <f t="shared" ref="C334:C339" si="32">"APP"</f>
        <v>APP</v>
      </c>
      <c r="D334">
        <v>47</v>
      </c>
      <c r="E334" t="str">
        <f>"298"</f>
        <v>298</v>
      </c>
      <c r="F334" t="str">
        <f>"0000"</f>
        <v>0000</v>
      </c>
    </row>
    <row r="335" spans="1:6">
      <c r="A335" t="str">
        <f>"T1086-19"</f>
        <v>T1086-19</v>
      </c>
      <c r="B335" t="str">
        <f t="shared" si="31"/>
        <v>VIA GIULIO TANINI  11C-</v>
      </c>
      <c r="C335" t="str">
        <f t="shared" si="32"/>
        <v>APP</v>
      </c>
      <c r="D335">
        <v>47</v>
      </c>
      <c r="E335" t="str">
        <f>"162"</f>
        <v>162</v>
      </c>
      <c r="F335" t="str">
        <f>"1"</f>
        <v>1</v>
      </c>
    </row>
    <row r="336" spans="1:6">
      <c r="A336" t="str">
        <f>"T1086-20"</f>
        <v>T1086-20</v>
      </c>
      <c r="B336" t="str">
        <f t="shared" si="31"/>
        <v>VIA GIULIO TANINI  11C-</v>
      </c>
      <c r="C336" t="str">
        <f t="shared" si="32"/>
        <v>APP</v>
      </c>
      <c r="D336">
        <v>47</v>
      </c>
      <c r="E336" t="str">
        <f>"161"</f>
        <v>161</v>
      </c>
      <c r="F336" t="str">
        <f>"0000"</f>
        <v>0000</v>
      </c>
    </row>
    <row r="337" spans="1:6">
      <c r="A337" t="str">
        <f>"T1086-21"</f>
        <v>T1086-21</v>
      </c>
      <c r="B337" t="str">
        <f t="shared" si="31"/>
        <v>VIA GIULIO TANINI  11C-</v>
      </c>
      <c r="C337" t="str">
        <f t="shared" si="32"/>
        <v>APP</v>
      </c>
      <c r="D337">
        <v>47</v>
      </c>
      <c r="E337" t="str">
        <f>"308"</f>
        <v>308</v>
      </c>
      <c r="F337" t="str">
        <f>"1"</f>
        <v>1</v>
      </c>
    </row>
    <row r="338" spans="1:6">
      <c r="A338" t="str">
        <f>"T1086-21"</f>
        <v>T1086-21</v>
      </c>
      <c r="B338" t="str">
        <f t="shared" si="31"/>
        <v>VIA GIULIO TANINI  11C-</v>
      </c>
      <c r="C338" t="str">
        <f t="shared" si="32"/>
        <v>APP</v>
      </c>
      <c r="D338">
        <v>47</v>
      </c>
      <c r="E338" t="str">
        <f>"307"</f>
        <v>307</v>
      </c>
      <c r="F338" t="str">
        <f>"1"</f>
        <v>1</v>
      </c>
    </row>
    <row r="339" spans="1:6">
      <c r="A339" t="str">
        <f>"T1086-21"</f>
        <v>T1086-21</v>
      </c>
      <c r="B339" t="str">
        <f t="shared" si="31"/>
        <v>VIA GIULIO TANINI  11C-</v>
      </c>
      <c r="C339" t="str">
        <f t="shared" si="32"/>
        <v>APP</v>
      </c>
      <c r="D339">
        <v>47</v>
      </c>
      <c r="E339" t="str">
        <f>"162"</f>
        <v>162</v>
      </c>
      <c r="F339" t="str">
        <f>"3"</f>
        <v>3</v>
      </c>
    </row>
    <row r="340" spans="1:6">
      <c r="A340" t="str">
        <f>"T1086-22"</f>
        <v>T1086-22</v>
      </c>
      <c r="B340" t="str">
        <f t="shared" si="31"/>
        <v>VIA GIULIO TANINI  11C-</v>
      </c>
      <c r="C340" t="str">
        <f>"1"</f>
        <v>1</v>
      </c>
      <c r="D340">
        <v>59</v>
      </c>
      <c r="E340" t="str">
        <f>"165"</f>
        <v>165</v>
      </c>
      <c r="F340" t="str">
        <f t="shared" ref="F340:F361" si="33">"0000"</f>
        <v>0000</v>
      </c>
    </row>
    <row r="341" spans="1:6">
      <c r="A341" t="str">
        <f>"T1086-23"</f>
        <v>T1086-23</v>
      </c>
      <c r="B341" t="str">
        <f t="shared" si="31"/>
        <v>VIA GIULIO TANINI  11C-</v>
      </c>
      <c r="C341" t="str">
        <f>"APP"</f>
        <v>APP</v>
      </c>
      <c r="D341">
        <v>47</v>
      </c>
      <c r="E341" t="str">
        <f>"297"</f>
        <v>297</v>
      </c>
      <c r="F341" t="str">
        <f t="shared" si="33"/>
        <v>0000</v>
      </c>
    </row>
    <row r="342" spans="1:6">
      <c r="A342" t="str">
        <f>"T1086-23"</f>
        <v>T1086-23</v>
      </c>
      <c r="B342" t="str">
        <f t="shared" si="31"/>
        <v>VIA GIULIO TANINI  11C-</v>
      </c>
      <c r="C342" t="str">
        <f>"1"</f>
        <v>1</v>
      </c>
      <c r="D342">
        <v>59</v>
      </c>
      <c r="E342" t="str">
        <f>"156"</f>
        <v>156</v>
      </c>
      <c r="F342" t="str">
        <f t="shared" si="33"/>
        <v>0000</v>
      </c>
    </row>
    <row r="343" spans="1:6">
      <c r="A343" t="str">
        <f>"T1086-24"</f>
        <v>T1086-24</v>
      </c>
      <c r="B343" t="str">
        <f t="shared" si="31"/>
        <v>VIA GIULIO TANINI  11C-</v>
      </c>
      <c r="C343" t="str">
        <f>"1"</f>
        <v>1</v>
      </c>
      <c r="D343">
        <v>59</v>
      </c>
      <c r="E343" t="str">
        <f>"139"</f>
        <v>139</v>
      </c>
      <c r="F343" t="str">
        <f t="shared" si="33"/>
        <v>0000</v>
      </c>
    </row>
    <row r="344" spans="1:6">
      <c r="A344" t="str">
        <f>"T1091-1"</f>
        <v>T1091-1</v>
      </c>
      <c r="B344" t="str">
        <f>"VIA NICOLA FABRIZI VICINO AL 54-"</f>
        <v>VIA NICOLA FABRIZI VICINO AL 54-</v>
      </c>
      <c r="C344" t="str">
        <f>"7"</f>
        <v>7</v>
      </c>
      <c r="D344">
        <v>7</v>
      </c>
      <c r="E344" t="str">
        <f>"2499"</f>
        <v>2499</v>
      </c>
      <c r="F344" t="str">
        <f t="shared" si="33"/>
        <v>0000</v>
      </c>
    </row>
    <row r="345" spans="1:6">
      <c r="A345" t="str">
        <f>"T1101-1"</f>
        <v>T1101-1</v>
      </c>
      <c r="B345" t="str">
        <f t="shared" ref="B345:B354" si="34">"VIA MOGGE  5-"</f>
        <v>VIA MOGGE  5-</v>
      </c>
      <c r="C345" t="str">
        <f t="shared" ref="C345:C354" si="35">"6"</f>
        <v>6</v>
      </c>
      <c r="D345">
        <v>4</v>
      </c>
      <c r="E345" t="str">
        <f>"97"</f>
        <v>97</v>
      </c>
      <c r="F345" t="str">
        <f t="shared" si="33"/>
        <v>0000</v>
      </c>
    </row>
    <row r="346" spans="1:6">
      <c r="A346" t="str">
        <f>"T1101-2"</f>
        <v>T1101-2</v>
      </c>
      <c r="B346" t="str">
        <f t="shared" si="34"/>
        <v>VIA MOGGE  5-</v>
      </c>
      <c r="C346" t="str">
        <f t="shared" si="35"/>
        <v>6</v>
      </c>
      <c r="D346">
        <v>4</v>
      </c>
      <c r="E346" t="str">
        <f>"112"</f>
        <v>112</v>
      </c>
      <c r="F346" t="str">
        <f t="shared" si="33"/>
        <v>0000</v>
      </c>
    </row>
    <row r="347" spans="1:6">
      <c r="A347" t="str">
        <f>"T1101-3"</f>
        <v>T1101-3</v>
      </c>
      <c r="B347" t="str">
        <f t="shared" si="34"/>
        <v>VIA MOGGE  5-</v>
      </c>
      <c r="C347" t="str">
        <f t="shared" si="35"/>
        <v>6</v>
      </c>
      <c r="D347">
        <v>4</v>
      </c>
      <c r="E347" t="str">
        <f>"113"</f>
        <v>113</v>
      </c>
      <c r="F347" t="str">
        <f t="shared" si="33"/>
        <v>0000</v>
      </c>
    </row>
    <row r="348" spans="1:6">
      <c r="A348" t="str">
        <f>"T1101-4"</f>
        <v>T1101-4</v>
      </c>
      <c r="B348" t="str">
        <f t="shared" si="34"/>
        <v>VIA MOGGE  5-</v>
      </c>
      <c r="C348" t="str">
        <f t="shared" si="35"/>
        <v>6</v>
      </c>
      <c r="D348">
        <v>4</v>
      </c>
      <c r="E348" t="str">
        <f>"761"</f>
        <v>761</v>
      </c>
      <c r="F348" t="str">
        <f t="shared" si="33"/>
        <v>0000</v>
      </c>
    </row>
    <row r="349" spans="1:6">
      <c r="A349" t="str">
        <f>"T1101-5"</f>
        <v>T1101-5</v>
      </c>
      <c r="B349" t="str">
        <f t="shared" si="34"/>
        <v>VIA MOGGE  5-</v>
      </c>
      <c r="C349" t="str">
        <f t="shared" si="35"/>
        <v>6</v>
      </c>
      <c r="D349">
        <v>4</v>
      </c>
      <c r="E349" t="str">
        <f>"98"</f>
        <v>98</v>
      </c>
      <c r="F349" t="str">
        <f t="shared" si="33"/>
        <v>0000</v>
      </c>
    </row>
    <row r="350" spans="1:6">
      <c r="A350" t="str">
        <f>"T1101-6"</f>
        <v>T1101-6</v>
      </c>
      <c r="B350" t="str">
        <f t="shared" si="34"/>
        <v>VIA MOGGE  5-</v>
      </c>
      <c r="C350" t="str">
        <f t="shared" si="35"/>
        <v>6</v>
      </c>
      <c r="D350">
        <v>4</v>
      </c>
      <c r="E350" t="str">
        <f>"99"</f>
        <v>99</v>
      </c>
      <c r="F350" t="str">
        <f t="shared" si="33"/>
        <v>0000</v>
      </c>
    </row>
    <row r="351" spans="1:6">
      <c r="A351" t="str">
        <f>"T1101-7"</f>
        <v>T1101-7</v>
      </c>
      <c r="B351" t="str">
        <f t="shared" si="34"/>
        <v>VIA MOGGE  5-</v>
      </c>
      <c r="C351" t="str">
        <f t="shared" si="35"/>
        <v>6</v>
      </c>
      <c r="D351">
        <v>4</v>
      </c>
      <c r="E351" t="str">
        <f>"100"</f>
        <v>100</v>
      </c>
      <c r="F351" t="str">
        <f t="shared" si="33"/>
        <v>0000</v>
      </c>
    </row>
    <row r="352" spans="1:6">
      <c r="A352" t="str">
        <f>"T1101-8"</f>
        <v>T1101-8</v>
      </c>
      <c r="B352" t="str">
        <f t="shared" si="34"/>
        <v>VIA MOGGE  5-</v>
      </c>
      <c r="C352" t="str">
        <f t="shared" si="35"/>
        <v>6</v>
      </c>
      <c r="D352">
        <v>4</v>
      </c>
      <c r="E352" t="str">
        <f>"255"</f>
        <v>255</v>
      </c>
      <c r="F352" t="str">
        <f t="shared" si="33"/>
        <v>0000</v>
      </c>
    </row>
    <row r="353" spans="1:6">
      <c r="A353" t="str">
        <f>"T1101-9"</f>
        <v>T1101-9</v>
      </c>
      <c r="B353" t="str">
        <f t="shared" si="34"/>
        <v>VIA MOGGE  5-</v>
      </c>
      <c r="C353" t="str">
        <f t="shared" si="35"/>
        <v>6</v>
      </c>
      <c r="D353">
        <v>4</v>
      </c>
      <c r="E353" t="str">
        <f>"24"</f>
        <v>24</v>
      </c>
      <c r="F353" t="str">
        <f t="shared" si="33"/>
        <v>0000</v>
      </c>
    </row>
    <row r="354" spans="1:6">
      <c r="A354" t="str">
        <f>"T1101-10"</f>
        <v>T1101-10</v>
      </c>
      <c r="B354" t="str">
        <f t="shared" si="34"/>
        <v>VIA MOGGE  5-</v>
      </c>
      <c r="C354" t="str">
        <f t="shared" si="35"/>
        <v>6</v>
      </c>
      <c r="D354">
        <v>4</v>
      </c>
      <c r="E354" t="str">
        <f>"95"</f>
        <v>95</v>
      </c>
      <c r="F354" t="str">
        <f t="shared" si="33"/>
        <v>0000</v>
      </c>
    </row>
    <row r="355" spans="1:6">
      <c r="A355" t="str">
        <f>"T1122-1"</f>
        <v>T1122-1</v>
      </c>
      <c r="B355" t="str">
        <f t="shared" ref="B355:B360" si="36">"VIA CADIGHIARA VICINO AL 38-"</f>
        <v>VIA CADIGHIARA VICINO AL 38-</v>
      </c>
      <c r="C355" t="str">
        <f t="shared" ref="C355:C361" si="37">"1"</f>
        <v>1</v>
      </c>
      <c r="D355">
        <v>58</v>
      </c>
      <c r="E355" t="str">
        <f>"65"</f>
        <v>65</v>
      </c>
      <c r="F355" t="str">
        <f t="shared" si="33"/>
        <v>0000</v>
      </c>
    </row>
    <row r="356" spans="1:6">
      <c r="A356" t="str">
        <f>"T1122-2"</f>
        <v>T1122-2</v>
      </c>
      <c r="B356" t="str">
        <f t="shared" si="36"/>
        <v>VIA CADIGHIARA VICINO AL 38-</v>
      </c>
      <c r="C356" t="str">
        <f t="shared" si="37"/>
        <v>1</v>
      </c>
      <c r="D356">
        <v>58</v>
      </c>
      <c r="E356" t="str">
        <f>"1466"</f>
        <v>1466</v>
      </c>
      <c r="F356" t="str">
        <f t="shared" si="33"/>
        <v>0000</v>
      </c>
    </row>
    <row r="357" spans="1:6">
      <c r="A357" t="str">
        <f>"T1122-3"</f>
        <v>T1122-3</v>
      </c>
      <c r="B357" t="str">
        <f t="shared" si="36"/>
        <v>VIA CADIGHIARA VICINO AL 38-</v>
      </c>
      <c r="C357" t="str">
        <f t="shared" si="37"/>
        <v>1</v>
      </c>
      <c r="D357">
        <v>58</v>
      </c>
      <c r="E357" t="str">
        <f>"1467"</f>
        <v>1467</v>
      </c>
      <c r="F357" t="str">
        <f t="shared" si="33"/>
        <v>0000</v>
      </c>
    </row>
    <row r="358" spans="1:6">
      <c r="A358" t="str">
        <f>"T1122-4"</f>
        <v>T1122-4</v>
      </c>
      <c r="B358" t="str">
        <f t="shared" si="36"/>
        <v>VIA CADIGHIARA VICINO AL 38-</v>
      </c>
      <c r="C358" t="str">
        <f t="shared" si="37"/>
        <v>1</v>
      </c>
      <c r="D358">
        <v>58</v>
      </c>
      <c r="E358" t="str">
        <f>"1469"</f>
        <v>1469</v>
      </c>
      <c r="F358" t="str">
        <f t="shared" si="33"/>
        <v>0000</v>
      </c>
    </row>
    <row r="359" spans="1:6">
      <c r="A359" t="str">
        <f>"T1122-5"</f>
        <v>T1122-5</v>
      </c>
      <c r="B359" t="str">
        <f t="shared" si="36"/>
        <v>VIA CADIGHIARA VICINO AL 38-</v>
      </c>
      <c r="C359" t="str">
        <f t="shared" si="37"/>
        <v>1</v>
      </c>
      <c r="D359">
        <v>58</v>
      </c>
      <c r="E359" t="str">
        <f>"1468"</f>
        <v>1468</v>
      </c>
      <c r="F359" t="str">
        <f t="shared" si="33"/>
        <v>0000</v>
      </c>
    </row>
    <row r="360" spans="1:6">
      <c r="A360" t="str">
        <f>"T1122-6"</f>
        <v>T1122-6</v>
      </c>
      <c r="B360" t="str">
        <f t="shared" si="36"/>
        <v>VIA CADIGHIARA VICINO AL 38-</v>
      </c>
      <c r="C360" t="str">
        <f t="shared" si="37"/>
        <v>1</v>
      </c>
      <c r="D360">
        <v>58</v>
      </c>
      <c r="E360" t="str">
        <f>"293"</f>
        <v>293</v>
      </c>
      <c r="F360" t="str">
        <f t="shared" si="33"/>
        <v>0000</v>
      </c>
    </row>
    <row r="361" spans="1:6">
      <c r="A361" t="str">
        <f>"T1124-1"</f>
        <v>T1124-1</v>
      </c>
      <c r="B361" t="str">
        <f>"VIA GORIZIA VICINO AL 1-"</f>
        <v>VIA GORIZIA VICINO AL 1-</v>
      </c>
      <c r="C361" t="str">
        <f t="shared" si="37"/>
        <v>1</v>
      </c>
      <c r="D361">
        <v>81</v>
      </c>
      <c r="E361" t="str">
        <f>"65"</f>
        <v>65</v>
      </c>
      <c r="F361" t="str">
        <f t="shared" si="33"/>
        <v>0000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Centro Est</vt:lpstr>
      <vt:lpstr>Centro Ovest</vt:lpstr>
      <vt:lpstr>Bas V. Bisagno</vt:lpstr>
      <vt:lpstr>Val Bisagno</vt:lpstr>
      <vt:lpstr>Val  Polcevera</vt:lpstr>
      <vt:lpstr>Medio Ponente</vt:lpstr>
      <vt:lpstr>Ponente</vt:lpstr>
      <vt:lpstr>Medio Levante</vt:lpstr>
      <vt:lpstr>Levante</vt:lpstr>
      <vt:lpstr>Fuori Genova</vt:lpstr>
    </vt:vector>
  </TitlesOfParts>
  <Company>COMUNE DI GENOVA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sistemi informativi</dc:creator>
  <cp:lastModifiedBy>epow003</cp:lastModifiedBy>
  <dcterms:created xsi:type="dcterms:W3CDTF">2017-01-10T11:36:54Z</dcterms:created>
  <dcterms:modified xsi:type="dcterms:W3CDTF">2017-01-11T13:52:36Z</dcterms:modified>
</cp:coreProperties>
</file>